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https://dmpf98.sharepoint.com/sites/Sagsbehandlingogarkiv/Delte dokumenter/Løntabeller mv/Det samlede skema/2026.04/Til udgivelse på hjemmesiden/"/>
    </mc:Choice>
  </mc:AlternateContent>
  <xr:revisionPtr revIDLastSave="821" documentId="8_{1639D227-B58E-9745-A671-BDB7CC32076E}" xr6:coauthVersionLast="47" xr6:coauthVersionMax="47" xr10:uidLastSave="{CF64E043-0FF7-2646-B007-1BBFA63E4A39}"/>
  <workbookProtection workbookAlgorithmName="SHA-512" workbookHashValue="VeqQR+VEDheeC62hPvjYBAS7H0w8ZVuzbRK1k40IaZIoubfW+PHsuDdcBuwsUOGs8RKriPzmY0x7rfuWlcXQMA==" workbookSaltValue="ei8BCAGhxamp1c6VVomynA==" workbookSpinCount="100000" lockStructure="1"/>
  <bookViews>
    <workbookView xWindow="42280" yWindow="500" windowWidth="34560" windowHeight="20140" tabRatio="706" activeTab="2" xr2:uid="{B55F606D-0E9C-430D-BA0E-224558F42BE5}"/>
  </bookViews>
  <sheets>
    <sheet name="Aktuel løntabel" sheetId="9" state="hidden" r:id="rId1"/>
    <sheet name="Musikskolelærere" sheetId="5" state="hidden" r:id="rId2"/>
    <sheet name="Musikskoleledere_mellemledere" sheetId="6" r:id="rId3"/>
    <sheet name="Aktuelle data" sheetId="3" state="hidden" r:id="rId4"/>
    <sheet name="Regneopgaver Modul C" sheetId="10" state="hidden" r:id="rId5"/>
    <sheet name="Skoler, stedtillæg" sheetId="4"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0" i="5" l="1"/>
  <c r="E19" i="5"/>
  <c r="E30" i="5" a="1"/>
  <c r="E30" i="5" s="1"/>
  <c r="E25" i="6" a="1"/>
  <c r="E25" i="6" s="1"/>
  <c r="B501" i="9"/>
  <c r="C18" i="6"/>
  <c r="C17" i="6"/>
  <c r="B20" i="10"/>
  <c r="C15" i="10"/>
  <c r="B13" i="10"/>
  <c r="E8" i="10"/>
  <c r="E7" i="10"/>
  <c r="E9" i="10" s="1"/>
  <c r="B14" i="10" s="1"/>
  <c r="C9" i="10"/>
  <c r="C498" i="9"/>
  <c r="C497" i="9"/>
  <c r="D9" i="10"/>
  <c r="B9" i="10"/>
  <c r="F9" i="10" l="1"/>
  <c r="B15" i="10"/>
  <c r="D15" i="10" s="1"/>
  <c r="E15" i="10" s="1"/>
  <c r="AN6" i="3"/>
  <c r="AN7" i="3"/>
  <c r="AN8" i="3"/>
  <c r="AN5" i="3"/>
  <c r="C19" i="6"/>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L91" i="9"/>
  <c r="L92" i="9"/>
  <c r="L93" i="9"/>
  <c r="L94" i="9"/>
  <c r="L95" i="9"/>
  <c r="L96" i="9"/>
  <c r="L97" i="9"/>
  <c r="L70" i="9"/>
  <c r="L71" i="9"/>
  <c r="L72" i="9"/>
  <c r="L73" i="9"/>
  <c r="L74" i="9"/>
  <c r="L75" i="9"/>
  <c r="L76" i="9"/>
  <c r="L77" i="9"/>
  <c r="L78" i="9"/>
  <c r="L79" i="9"/>
  <c r="L80" i="9"/>
  <c r="L81" i="9"/>
  <c r="L82" i="9"/>
  <c r="L83" i="9"/>
  <c r="L84" i="9"/>
  <c r="L85" i="9"/>
  <c r="L86" i="9"/>
  <c r="L87" i="9"/>
  <c r="L88" i="9"/>
  <c r="L89" i="9"/>
  <c r="L90" i="9"/>
  <c r="J91" i="9"/>
  <c r="J92" i="9"/>
  <c r="J93" i="9"/>
  <c r="J94" i="9"/>
  <c r="J95" i="9"/>
  <c r="J96" i="9"/>
  <c r="J97" i="9"/>
  <c r="J70" i="9"/>
  <c r="J71" i="9"/>
  <c r="J72" i="9"/>
  <c r="J73" i="9"/>
  <c r="J74" i="9"/>
  <c r="J75" i="9"/>
  <c r="J76" i="9"/>
  <c r="J77" i="9"/>
  <c r="J78" i="9"/>
  <c r="J79" i="9"/>
  <c r="J80" i="9"/>
  <c r="J81" i="9"/>
  <c r="J82" i="9"/>
  <c r="J83" i="9"/>
  <c r="J84" i="9"/>
  <c r="J85" i="9"/>
  <c r="J86" i="9"/>
  <c r="J87" i="9"/>
  <c r="J88" i="9"/>
  <c r="J89" i="9"/>
  <c r="J90" i="9"/>
  <c r="H85" i="9"/>
  <c r="H86" i="9"/>
  <c r="H87" i="9"/>
  <c r="H88" i="9"/>
  <c r="H89" i="9"/>
  <c r="H90" i="9"/>
  <c r="H91" i="9"/>
  <c r="H92" i="9"/>
  <c r="H93" i="9"/>
  <c r="H94" i="9"/>
  <c r="H95" i="9"/>
  <c r="H96" i="9"/>
  <c r="H97" i="9"/>
  <c r="H70" i="9"/>
  <c r="H71" i="9"/>
  <c r="H72" i="9"/>
  <c r="H73" i="9"/>
  <c r="H74" i="9"/>
  <c r="H75" i="9"/>
  <c r="H76" i="9"/>
  <c r="H77" i="9"/>
  <c r="H78" i="9"/>
  <c r="H79" i="9"/>
  <c r="H80" i="9"/>
  <c r="H81" i="9"/>
  <c r="H82" i="9"/>
  <c r="H83" i="9"/>
  <c r="H84"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D84" i="9"/>
  <c r="D85" i="9"/>
  <c r="D86" i="9"/>
  <c r="D87" i="9"/>
  <c r="D88" i="9"/>
  <c r="D89" i="9"/>
  <c r="D90" i="9"/>
  <c r="D91" i="9"/>
  <c r="D92" i="9"/>
  <c r="D93" i="9"/>
  <c r="D94" i="9"/>
  <c r="D95" i="9"/>
  <c r="D96" i="9"/>
  <c r="D97" i="9"/>
  <c r="D70" i="9"/>
  <c r="D71" i="9"/>
  <c r="D72" i="9"/>
  <c r="D73" i="9"/>
  <c r="D74" i="9"/>
  <c r="D75" i="9"/>
  <c r="D76" i="9"/>
  <c r="D77" i="9"/>
  <c r="D78" i="9"/>
  <c r="D79" i="9"/>
  <c r="D80" i="9"/>
  <c r="D81" i="9"/>
  <c r="D82" i="9"/>
  <c r="D83"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D6" i="9"/>
  <c r="D5" i="9"/>
  <c r="D7" i="9"/>
  <c r="D8" i="9"/>
  <c r="D9" i="9"/>
  <c r="D10" i="9"/>
  <c r="D11" i="9"/>
  <c r="D12" i="9"/>
  <c r="D13" i="9"/>
  <c r="D14" i="9"/>
  <c r="D15" i="9"/>
  <c r="D16" i="9"/>
  <c r="D17" i="9"/>
  <c r="D18" i="9"/>
  <c r="D19" i="9"/>
  <c r="D20" i="9"/>
  <c r="D21" i="9"/>
  <c r="D22" i="9"/>
  <c r="D23" i="9"/>
  <c r="D24" i="9"/>
  <c r="D25" i="9"/>
  <c r="D26" i="9"/>
  <c r="D27" i="9"/>
  <c r="D28" i="9"/>
  <c r="D29" i="9"/>
  <c r="D30" i="9"/>
  <c r="D31" i="9"/>
  <c r="D32" i="9"/>
  <c r="AB27" i="3"/>
  <c r="AB26" i="3"/>
  <c r="U11" i="3"/>
  <c r="AD11" i="3" s="1"/>
  <c r="U10" i="3"/>
  <c r="AD10" i="3" s="1"/>
  <c r="U9" i="3"/>
  <c r="AD9" i="3" s="1"/>
  <c r="U8" i="3"/>
  <c r="AD8" i="3" s="1"/>
  <c r="U7" i="3"/>
  <c r="W7" i="3" s="1"/>
  <c r="U12" i="3"/>
  <c r="W12" i="3" s="1"/>
  <c r="AB11" i="3"/>
  <c r="AB25" i="3"/>
  <c r="AB24" i="3"/>
  <c r="AB23" i="3"/>
  <c r="AB22" i="3"/>
  <c r="AB21" i="3"/>
  <c r="AB20" i="3"/>
  <c r="AB19" i="3"/>
  <c r="AB18" i="3"/>
  <c r="AB17" i="3"/>
  <c r="AB16" i="3"/>
  <c r="AB15" i="3"/>
  <c r="AB14" i="3"/>
  <c r="AB13" i="3"/>
  <c r="AB12" i="3"/>
  <c r="AB10" i="3"/>
  <c r="AB9" i="3"/>
  <c r="AB8" i="3"/>
  <c r="AB7" i="3"/>
  <c r="AA7" i="3"/>
  <c r="AA8" i="3"/>
  <c r="AA9" i="3"/>
  <c r="AA10" i="3"/>
  <c r="AA12" i="3"/>
  <c r="AA11" i="3"/>
  <c r="G48" i="3"/>
  <c r="L165" i="9"/>
  <c r="L166" i="9" s="1"/>
  <c r="L505" i="9"/>
  <c r="L506" i="9"/>
  <c r="L507" i="9"/>
  <c r="L504" i="9"/>
  <c r="J505" i="9"/>
  <c r="J506" i="9"/>
  <c r="J507" i="9"/>
  <c r="J504" i="9"/>
  <c r="G505" i="9"/>
  <c r="G506" i="9"/>
  <c r="G507" i="9"/>
  <c r="G504" i="9"/>
  <c r="W8" i="3" l="1"/>
  <c r="Y8" i="3" s="1"/>
  <c r="Z8" i="3" s="1"/>
  <c r="D375" i="9"/>
  <c r="AE9" i="3"/>
  <c r="F375" i="9" s="1"/>
  <c r="AF9" i="3"/>
  <c r="H375" i="9" s="1"/>
  <c r="AF11" i="3"/>
  <c r="H377" i="9" s="1"/>
  <c r="D377" i="9"/>
  <c r="AE11" i="3"/>
  <c r="F377" i="9" s="1"/>
  <c r="AF10" i="3"/>
  <c r="H376" i="9" s="1"/>
  <c r="D376" i="9"/>
  <c r="AE10" i="3"/>
  <c r="F376" i="9" s="1"/>
  <c r="D274" i="9"/>
  <c r="X12" i="3"/>
  <c r="Y12" i="3"/>
  <c r="Z12" i="3" s="1"/>
  <c r="D269" i="9"/>
  <c r="X7" i="3"/>
  <c r="Y7" i="3"/>
  <c r="Z7" i="3" s="1"/>
  <c r="W11" i="3"/>
  <c r="D374" i="9"/>
  <c r="W10" i="3"/>
  <c r="AF8" i="3"/>
  <c r="H374" i="9" s="1"/>
  <c r="W9" i="3"/>
  <c r="AD12" i="3"/>
  <c r="D270" i="9"/>
  <c r="AD7" i="3"/>
  <c r="AE8" i="3"/>
  <c r="F374" i="9" s="1"/>
  <c r="L340" i="9"/>
  <c r="L490" i="9"/>
  <c r="L488" i="9"/>
  <c r="L486" i="9"/>
  <c r="L485" i="9"/>
  <c r="L447" i="9"/>
  <c r="H447" i="9"/>
  <c r="F447" i="9"/>
  <c r="C446" i="9"/>
  <c r="L446" i="9"/>
  <c r="F446" i="9"/>
  <c r="L441" i="9"/>
  <c r="L435" i="9"/>
  <c r="H435" i="9"/>
  <c r="L434" i="9"/>
  <c r="J371" i="9"/>
  <c r="L367" i="9"/>
  <c r="X8" i="3" l="1"/>
  <c r="AG11" i="3"/>
  <c r="J377" i="9" s="1"/>
  <c r="AG10" i="3"/>
  <c r="J376" i="9" s="1"/>
  <c r="X11" i="3"/>
  <c r="Y11" i="3"/>
  <c r="Z11" i="3" s="1"/>
  <c r="D273" i="9"/>
  <c r="AF7" i="3"/>
  <c r="H373" i="9" s="1"/>
  <c r="AE7" i="3"/>
  <c r="AF12" i="3"/>
  <c r="H378" i="9" s="1"/>
  <c r="D378" i="9"/>
  <c r="AE12" i="3"/>
  <c r="F378" i="9" s="1"/>
  <c r="AG9" i="3"/>
  <c r="J375" i="9" s="1"/>
  <c r="X9" i="3"/>
  <c r="Y9" i="3"/>
  <c r="Z9" i="3" s="1"/>
  <c r="D271" i="9"/>
  <c r="Y10" i="3"/>
  <c r="Z10" i="3" s="1"/>
  <c r="X10" i="3"/>
  <c r="D272" i="9"/>
  <c r="AG8" i="3"/>
  <c r="J374" i="9" s="1"/>
  <c r="L448" i="9"/>
  <c r="L449" i="9" s="1"/>
  <c r="L436" i="9"/>
  <c r="L437" i="9" s="1"/>
  <c r="L346" i="9"/>
  <c r="L348" i="9"/>
  <c r="H348" i="9"/>
  <c r="F348" i="9"/>
  <c r="F347" i="9"/>
  <c r="H347" i="9"/>
  <c r="C347" i="9"/>
  <c r="F333" i="9"/>
  <c r="F332" i="9"/>
  <c r="D332" i="9"/>
  <c r="L333" i="9"/>
  <c r="L332" i="9"/>
  <c r="L331" i="9"/>
  <c r="D331" i="9"/>
  <c r="F346" i="9"/>
  <c r="C346" i="9"/>
  <c r="J267" i="9"/>
  <c r="AA27" i="3"/>
  <c r="AA26" i="3"/>
  <c r="AA25" i="3"/>
  <c r="AA24" i="3"/>
  <c r="AA23" i="3"/>
  <c r="AA22" i="3"/>
  <c r="AA21" i="3"/>
  <c r="AA20" i="3"/>
  <c r="AA19" i="3"/>
  <c r="AA18" i="3"/>
  <c r="AA17" i="3"/>
  <c r="AA16" i="3"/>
  <c r="AA15" i="3"/>
  <c r="AA14" i="3"/>
  <c r="AA13" i="3"/>
  <c r="U27" i="3"/>
  <c r="U26" i="3"/>
  <c r="U25" i="3"/>
  <c r="U24" i="3"/>
  <c r="U23" i="3"/>
  <c r="U22" i="3"/>
  <c r="U21" i="3"/>
  <c r="U20" i="3"/>
  <c r="U19" i="3"/>
  <c r="U18" i="3"/>
  <c r="U17" i="3"/>
  <c r="U16" i="3"/>
  <c r="U15" i="3"/>
  <c r="U14" i="3"/>
  <c r="U13" i="3"/>
  <c r="L263" i="9"/>
  <c r="L35" i="9"/>
  <c r="L36" i="9" s="1"/>
  <c r="L100" i="9"/>
  <c r="L101" i="9" s="1"/>
  <c r="C16" i="6"/>
  <c r="E16" i="6" s="1"/>
  <c r="B55" i="3"/>
  <c r="B46" i="3"/>
  <c r="G33" i="5"/>
  <c r="E19" i="6"/>
  <c r="E28" i="6"/>
  <c r="E27" i="6"/>
  <c r="G32" i="5"/>
  <c r="B47" i="3"/>
  <c r="B53" i="3"/>
  <c r="B54" i="3"/>
  <c r="E36" i="6"/>
  <c r="AD18" i="3" l="1"/>
  <c r="W18" i="3"/>
  <c r="AG7" i="3"/>
  <c r="J373" i="9" s="1"/>
  <c r="AD19" i="3"/>
  <c r="W19" i="3"/>
  <c r="AD27" i="3"/>
  <c r="W27" i="3"/>
  <c r="W20" i="3"/>
  <c r="AD20" i="3"/>
  <c r="W13" i="3"/>
  <c r="AD13" i="3"/>
  <c r="AD15" i="3"/>
  <c r="W15" i="3"/>
  <c r="AD23" i="3"/>
  <c r="W23" i="3"/>
  <c r="W16" i="3"/>
  <c r="AD16" i="3"/>
  <c r="W24" i="3"/>
  <c r="AD24" i="3"/>
  <c r="AD26" i="3"/>
  <c r="W26" i="3"/>
  <c r="AD21" i="3"/>
  <c r="W21" i="3"/>
  <c r="W14" i="3"/>
  <c r="AD14" i="3"/>
  <c r="W22" i="3"/>
  <c r="AD22" i="3"/>
  <c r="AD17" i="3"/>
  <c r="W17" i="3"/>
  <c r="AD25" i="3"/>
  <c r="W25" i="3"/>
  <c r="AG12" i="3"/>
  <c r="J378" i="9" s="1"/>
  <c r="F373" i="9"/>
  <c r="D373" i="9"/>
  <c r="L349" i="9"/>
  <c r="L350" i="9" s="1"/>
  <c r="L334" i="9"/>
  <c r="L335" i="9" s="1"/>
  <c r="B59" i="3" a="1"/>
  <c r="B59" i="3" s="1"/>
  <c r="C15" i="6" s="1"/>
  <c r="B45" i="3"/>
  <c r="E17" i="6"/>
  <c r="B60" i="3" a="1"/>
  <c r="B60" i="3" s="1"/>
  <c r="B50" i="3" a="1"/>
  <c r="B50" i="3" s="1"/>
  <c r="E28" i="5" s="1"/>
  <c r="B49" i="3" a="1"/>
  <c r="B49" i="3" s="1"/>
  <c r="E18" i="6"/>
  <c r="G19" i="5"/>
  <c r="F51" i="5"/>
  <c r="E35" i="5" l="1"/>
  <c r="E18" i="5"/>
  <c r="E25" i="5" s="1"/>
  <c r="E21" i="5"/>
  <c r="G21" i="5" s="1"/>
  <c r="E36" i="5"/>
  <c r="G23" i="5" s="1"/>
  <c r="Y14" i="3"/>
  <c r="Z14" i="3" s="1"/>
  <c r="D276" i="9"/>
  <c r="X14" i="3"/>
  <c r="D282" i="9"/>
  <c r="X20" i="3"/>
  <c r="F282" i="9" s="1"/>
  <c r="Y20" i="3"/>
  <c r="Z20" i="3" s="1"/>
  <c r="X27" i="3"/>
  <c r="F289" i="9" s="1"/>
  <c r="Y27" i="3"/>
  <c r="H289" i="9" s="1"/>
  <c r="D289" i="9"/>
  <c r="D391" i="9"/>
  <c r="AE25" i="3"/>
  <c r="F391" i="9" s="1"/>
  <c r="AF25" i="3"/>
  <c r="H391" i="9" s="1"/>
  <c r="AE21" i="3"/>
  <c r="F387" i="9" s="1"/>
  <c r="AF21" i="3"/>
  <c r="H387" i="9" s="1"/>
  <c r="D387" i="9"/>
  <c r="AE23" i="3"/>
  <c r="F389" i="9" s="1"/>
  <c r="AF23" i="3"/>
  <c r="H389" i="9" s="1"/>
  <c r="D389" i="9"/>
  <c r="AF27" i="3"/>
  <c r="H393" i="9" s="1"/>
  <c r="D393" i="9"/>
  <c r="AE27" i="3"/>
  <c r="F393" i="9" s="1"/>
  <c r="AE14" i="3"/>
  <c r="F380" i="9" s="1"/>
  <c r="AF14" i="3"/>
  <c r="H380" i="9" s="1"/>
  <c r="D380" i="9"/>
  <c r="AF20" i="3"/>
  <c r="H386" i="9" s="1"/>
  <c r="D386" i="9"/>
  <c r="AE20" i="3"/>
  <c r="F386" i="9" s="1"/>
  <c r="D383" i="9"/>
  <c r="AE17" i="3"/>
  <c r="F383" i="9" s="1"/>
  <c r="AF17" i="3"/>
  <c r="H383" i="9" s="1"/>
  <c r="AE15" i="3"/>
  <c r="F381" i="9" s="1"/>
  <c r="AF15" i="3"/>
  <c r="H381" i="9" s="1"/>
  <c r="D381" i="9"/>
  <c r="AF19" i="3"/>
  <c r="H385" i="9" s="1"/>
  <c r="D385" i="9"/>
  <c r="AE19" i="3"/>
  <c r="F385" i="9" s="1"/>
  <c r="Y16" i="3"/>
  <c r="Z16" i="3" s="1"/>
  <c r="D278" i="9"/>
  <c r="X16" i="3"/>
  <c r="F278" i="9" s="1"/>
  <c r="X25" i="3"/>
  <c r="F287" i="9" s="1"/>
  <c r="Y25" i="3"/>
  <c r="Z25" i="3" s="1"/>
  <c r="D287" i="9"/>
  <c r="Y23" i="3"/>
  <c r="H285" i="9" s="1"/>
  <c r="D285" i="9"/>
  <c r="X23" i="3"/>
  <c r="F285" i="9" s="1"/>
  <c r="X17" i="3"/>
  <c r="F279" i="9" s="1"/>
  <c r="Y17" i="3"/>
  <c r="H279" i="9" s="1"/>
  <c r="D279" i="9"/>
  <c r="X26" i="3"/>
  <c r="F288" i="9" s="1"/>
  <c r="Y26" i="3"/>
  <c r="H288" i="9" s="1"/>
  <c r="D288" i="9"/>
  <c r="Y15" i="3"/>
  <c r="Z15" i="3" s="1"/>
  <c r="D277" i="9"/>
  <c r="X15" i="3"/>
  <c r="F277" i="9" s="1"/>
  <c r="X19" i="3"/>
  <c r="F281" i="9" s="1"/>
  <c r="Y19" i="3"/>
  <c r="Z19" i="3" s="1"/>
  <c r="D281" i="9"/>
  <c r="AE22" i="3"/>
  <c r="F388" i="9" s="1"/>
  <c r="AF22" i="3"/>
  <c r="H388" i="9" s="1"/>
  <c r="D388" i="9"/>
  <c r="AE13" i="3"/>
  <c r="F379" i="9" s="1"/>
  <c r="AF13" i="3"/>
  <c r="H379" i="9" s="1"/>
  <c r="D379" i="9"/>
  <c r="AE16" i="3"/>
  <c r="F382" i="9" s="1"/>
  <c r="AF16" i="3"/>
  <c r="H382" i="9" s="1"/>
  <c r="D382" i="9"/>
  <c r="D283" i="9"/>
  <c r="X21" i="3"/>
  <c r="F283" i="9" s="1"/>
  <c r="Y21" i="3"/>
  <c r="H283" i="9" s="1"/>
  <c r="AF26" i="3"/>
  <c r="H392" i="9" s="1"/>
  <c r="D392" i="9"/>
  <c r="AE26" i="3"/>
  <c r="F392" i="9" s="1"/>
  <c r="AE24" i="3"/>
  <c r="F390" i="9" s="1"/>
  <c r="AF24" i="3"/>
  <c r="H390" i="9" s="1"/>
  <c r="D390" i="9"/>
  <c r="Y22" i="3"/>
  <c r="Z22" i="3" s="1"/>
  <c r="D284" i="9"/>
  <c r="X22" i="3"/>
  <c r="F284" i="9" s="1"/>
  <c r="Y24" i="3"/>
  <c r="Z24" i="3" s="1"/>
  <c r="D286" i="9"/>
  <c r="X24" i="3"/>
  <c r="F286" i="9" s="1"/>
  <c r="D275" i="9"/>
  <c r="X13" i="3"/>
  <c r="F275" i="9" s="1"/>
  <c r="Y13" i="3"/>
  <c r="H275" i="9" s="1"/>
  <c r="X18" i="3"/>
  <c r="F280" i="9" s="1"/>
  <c r="Y18" i="3"/>
  <c r="Z18" i="3" s="1"/>
  <c r="D280" i="9"/>
  <c r="AF18" i="3"/>
  <c r="H384" i="9" s="1"/>
  <c r="D384" i="9"/>
  <c r="AE18" i="3"/>
  <c r="F384" i="9" s="1"/>
  <c r="E15" i="6"/>
  <c r="E21" i="6" s="1"/>
  <c r="F270" i="9"/>
  <c r="H270" i="9"/>
  <c r="F269" i="9"/>
  <c r="H269" i="9"/>
  <c r="H272" i="9"/>
  <c r="F272" i="9"/>
  <c r="F271" i="9"/>
  <c r="H271" i="9"/>
  <c r="H273" i="9"/>
  <c r="F273" i="9"/>
  <c r="F276" i="9"/>
  <c r="H276" i="9"/>
  <c r="H274" i="9"/>
  <c r="F274" i="9"/>
  <c r="C23" i="6"/>
  <c r="H286" i="9" l="1"/>
  <c r="H281" i="9"/>
  <c r="H280" i="9"/>
  <c r="Z13" i="3"/>
  <c r="J275" i="9" s="1"/>
  <c r="Z26" i="3"/>
  <c r="J288" i="9" s="1"/>
  <c r="Z23" i="3"/>
  <c r="J285" i="9" s="1"/>
  <c r="AG20" i="3"/>
  <c r="J386" i="9" s="1"/>
  <c r="H278" i="9"/>
  <c r="H282" i="9"/>
  <c r="H277" i="9"/>
  <c r="AG16" i="3"/>
  <c r="J382" i="9" s="1"/>
  <c r="AG22" i="3"/>
  <c r="J388" i="9" s="1"/>
  <c r="AG23" i="3"/>
  <c r="J389" i="9" s="1"/>
  <c r="AG13" i="3"/>
  <c r="J379" i="9" s="1"/>
  <c r="AG17" i="3"/>
  <c r="J383" i="9" s="1"/>
  <c r="AG21" i="3"/>
  <c r="J387" i="9" s="1"/>
  <c r="H287" i="9"/>
  <c r="E37" i="5"/>
  <c r="E38" i="5"/>
  <c r="G24" i="5"/>
  <c r="AG25" i="3"/>
  <c r="J391" i="9" s="1"/>
  <c r="H284" i="9"/>
  <c r="AG14" i="3"/>
  <c r="J380" i="9" s="1"/>
  <c r="Z21" i="3"/>
  <c r="J283" i="9" s="1"/>
  <c r="AG24" i="3"/>
  <c r="J390" i="9" s="1"/>
  <c r="AG15" i="3"/>
  <c r="J381" i="9" s="1"/>
  <c r="Z17" i="3"/>
  <c r="J279" i="9" s="1"/>
  <c r="AG18" i="3"/>
  <c r="J384" i="9" s="1"/>
  <c r="AG26" i="3"/>
  <c r="J392" i="9" s="1"/>
  <c r="AG19" i="3"/>
  <c r="J385" i="9" s="1"/>
  <c r="AG27" i="3"/>
  <c r="J393" i="9" s="1"/>
  <c r="Z27" i="3"/>
  <c r="J289" i="9" s="1"/>
  <c r="J280" i="9"/>
  <c r="J281" i="9"/>
  <c r="J274" i="9"/>
  <c r="J270" i="9"/>
  <c r="J286" i="9"/>
  <c r="J273" i="9"/>
  <c r="J272" i="9"/>
  <c r="J271" i="9"/>
  <c r="J269" i="9"/>
  <c r="J284" i="9"/>
  <c r="J278" i="9"/>
  <c r="J276" i="9"/>
  <c r="J277" i="9"/>
  <c r="J282" i="9"/>
  <c r="J287" i="9"/>
  <c r="C20" i="6"/>
  <c r="G20" i="5"/>
  <c r="E23" i="6"/>
  <c r="G25" i="5" l="1"/>
  <c r="E20" i="6"/>
  <c r="G22" i="5" l="1"/>
  <c r="G28" i="5"/>
  <c r="G18" i="5" l="1"/>
  <c r="G26" i="5" s="1"/>
  <c r="B19" i="10" l="1"/>
  <c r="B21" i="10"/>
  <c r="A25" i="10" s="1"/>
  <c r="G9"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<sst xmlns="http://schemas.openxmlformats.org/spreadsheetml/2006/main" count="543" uniqueCount="337">
  <si>
    <t>Forhandlingsfællesskabet</t>
  </si>
  <si>
    <t>Årsløn, månedsløn og timeløn</t>
  </si>
  <si>
    <t>Løn-</t>
  </si>
  <si>
    <t xml:space="preserve">Årsløn </t>
  </si>
  <si>
    <t>Månedsløn</t>
  </si>
  <si>
    <t>Pensiongivende årsløn for ikke-tjenestemænd</t>
  </si>
  <si>
    <t>trin</t>
  </si>
  <si>
    <t>incl. områdetillæg</t>
  </si>
  <si>
    <t>Gruppe 0</t>
  </si>
  <si>
    <t>Gruppe 1</t>
  </si>
  <si>
    <t>Gruppe 2</t>
  </si>
  <si>
    <t>Gruppe 3</t>
  </si>
  <si>
    <t>Gruppe 4</t>
  </si>
  <si>
    <t>55+</t>
  </si>
  <si>
    <t>Omregning</t>
  </si>
  <si>
    <t>Pens. Lærer</t>
  </si>
  <si>
    <t>Pens. Leder</t>
  </si>
  <si>
    <t>Timer/måned</t>
  </si>
  <si>
    <t>Ansættelsesgrad</t>
  </si>
  <si>
    <t>Lønmodtagerandel</t>
  </si>
  <si>
    <t>Arbejdsgiverandel</t>
  </si>
  <si>
    <t>I alt pr. måned</t>
  </si>
  <si>
    <t>Tillæg til grundlønnen pr. år</t>
  </si>
  <si>
    <t>Min. 117 timer/md.</t>
  </si>
  <si>
    <t>Min. 27/37</t>
  </si>
  <si>
    <t>Funktionstillæg</t>
  </si>
  <si>
    <t>78 - 116 timer/md.</t>
  </si>
  <si>
    <t>18/37 til 26,99/37</t>
  </si>
  <si>
    <t>39 - 77 timer/md.</t>
  </si>
  <si>
    <t>9/37 til 17,99/37</t>
  </si>
  <si>
    <t>Under 39 timer/md.</t>
  </si>
  <si>
    <t>Under 9/37</t>
  </si>
  <si>
    <t>Årsløn trin 50 (gruppe 3)</t>
  </si>
  <si>
    <t>Årsløn i alt</t>
  </si>
  <si>
    <t>Månedsløn i alt</t>
  </si>
  <si>
    <t>Albertslund</t>
  </si>
  <si>
    <t>Allerød</t>
  </si>
  <si>
    <t>Ballerup</t>
  </si>
  <si>
    <t>Bornholm</t>
  </si>
  <si>
    <t>Brøndby</t>
  </si>
  <si>
    <t>Dragør</t>
  </si>
  <si>
    <t>Egedal</t>
  </si>
  <si>
    <t>Fredensborg</t>
  </si>
  <si>
    <t>Frederiksberg</t>
  </si>
  <si>
    <t>Frederikssund</t>
  </si>
  <si>
    <t>Halsnæs</t>
  </si>
  <si>
    <t>Furesø</t>
  </si>
  <si>
    <t>Gentofte</t>
  </si>
  <si>
    <t>Gladsaxe</t>
  </si>
  <si>
    <t>Glostrup</t>
  </si>
  <si>
    <t>Greve</t>
  </si>
  <si>
    <t>Gribskov</t>
  </si>
  <si>
    <t>Helsingør</t>
  </si>
  <si>
    <t>Herlev</t>
  </si>
  <si>
    <t>Hillerød</t>
  </si>
  <si>
    <t>Hvidovre</t>
  </si>
  <si>
    <t>Høje-Taastrup</t>
  </si>
  <si>
    <t>Hørsholm</t>
  </si>
  <si>
    <t>Ishøj</t>
  </si>
  <si>
    <t>København</t>
  </si>
  <si>
    <t>Lyngby-Taarbæk</t>
  </si>
  <si>
    <t>Rudersdal</t>
  </si>
  <si>
    <t>Rødovre</t>
  </si>
  <si>
    <t>Tårnby</t>
  </si>
  <si>
    <t>Vallensbæk</t>
  </si>
  <si>
    <t>Faxe</t>
  </si>
  <si>
    <t>Guldborgsund</t>
  </si>
  <si>
    <t>Holbæk</t>
  </si>
  <si>
    <t>Kalundborg</t>
  </si>
  <si>
    <t>Køge</t>
  </si>
  <si>
    <t>Lejre</t>
  </si>
  <si>
    <t>Lolland</t>
  </si>
  <si>
    <t>Næstved</t>
  </si>
  <si>
    <t>Odsherred</t>
  </si>
  <si>
    <t>Ringsted</t>
  </si>
  <si>
    <t>Roskilde</t>
  </si>
  <si>
    <t>Slagelse</t>
  </si>
  <si>
    <t>Solrød</t>
  </si>
  <si>
    <t>Sorø</t>
  </si>
  <si>
    <t>Stevns</t>
  </si>
  <si>
    <t>Vordingborg</t>
  </si>
  <si>
    <t>Brønderslev</t>
  </si>
  <si>
    <t>Frederikshavn</t>
  </si>
  <si>
    <t>Hjørring</t>
  </si>
  <si>
    <t>Jammerbugt</t>
  </si>
  <si>
    <t>Læsø</t>
  </si>
  <si>
    <t>Mariagerfjord</t>
  </si>
  <si>
    <t>Morsø</t>
  </si>
  <si>
    <t>Rebild</t>
  </si>
  <si>
    <t>Thisted</t>
  </si>
  <si>
    <t>Vesthimmerland</t>
  </si>
  <si>
    <t>Aalborg</t>
  </si>
  <si>
    <t>Assens</t>
  </si>
  <si>
    <t>Billund</t>
  </si>
  <si>
    <t>Bogense</t>
  </si>
  <si>
    <t>Esbjerg</t>
  </si>
  <si>
    <t>Fanø</t>
  </si>
  <si>
    <t>Fredericia</t>
  </si>
  <si>
    <t>Faaborg-Midtfyn</t>
  </si>
  <si>
    <t>Haderslev</t>
  </si>
  <si>
    <t>Kerteminde</t>
  </si>
  <si>
    <t>Kolding</t>
  </si>
  <si>
    <t>Langeland</t>
  </si>
  <si>
    <t>Middelfart</t>
  </si>
  <si>
    <t>Nyborg</t>
  </si>
  <si>
    <t>Odense</t>
  </si>
  <si>
    <t>Svendborg</t>
  </si>
  <si>
    <t>Sønderborg</t>
  </si>
  <si>
    <t>Tønder</t>
  </si>
  <si>
    <t>Varde</t>
  </si>
  <si>
    <t>Vejen</t>
  </si>
  <si>
    <t>Vejle</t>
  </si>
  <si>
    <t>Ærø</t>
  </si>
  <si>
    <t>Aabenraa</t>
  </si>
  <si>
    <t>Favrskov</t>
  </si>
  <si>
    <t>Hedensted</t>
  </si>
  <si>
    <t>Herning</t>
  </si>
  <si>
    <t>Holstebro</t>
  </si>
  <si>
    <t>Horsens</t>
  </si>
  <si>
    <t>Ikast-Brande</t>
  </si>
  <si>
    <t>Lemvig</t>
  </si>
  <si>
    <t>Norddjurs</t>
  </si>
  <si>
    <t>Odder</t>
  </si>
  <si>
    <t>Randers</t>
  </si>
  <si>
    <t>Ringkøbing-Skjern</t>
  </si>
  <si>
    <t>Samsø</t>
  </si>
  <si>
    <t>Silkeborg</t>
  </si>
  <si>
    <t>Skanderborg</t>
  </si>
  <si>
    <t>Skive</t>
  </si>
  <si>
    <t>Struer</t>
  </si>
  <si>
    <t>Syddjurs</t>
  </si>
  <si>
    <t>Viborg</t>
  </si>
  <si>
    <t>Aarhus</t>
  </si>
  <si>
    <t>Kommune</t>
  </si>
  <si>
    <t>/37</t>
  </si>
  <si>
    <t xml:space="preserve">Navn: </t>
  </si>
  <si>
    <t xml:space="preserve">Resultater: </t>
  </si>
  <si>
    <t>Trinløn</t>
  </si>
  <si>
    <t>Tillæg, red. ift. ansættelsesgraden</t>
  </si>
  <si>
    <t>Tillæg, red. ej ift. ansættelsesgraden</t>
  </si>
  <si>
    <t>Antal timer, som udløser ulempegodtgørelse i perioden</t>
  </si>
  <si>
    <t>Ulempegodtgørelse for perioden</t>
  </si>
  <si>
    <t>Pr. år</t>
  </si>
  <si>
    <t>Pr. måned</t>
  </si>
  <si>
    <t>Timeløn ved merarbejde mv.</t>
  </si>
  <si>
    <t>Stedtillæg</t>
  </si>
  <si>
    <t>KOMMUNALE LØNNINGER PR.</t>
  </si>
  <si>
    <t xml:space="preserve">Kolonne/stedtillæg </t>
  </si>
  <si>
    <t>Række/trin</t>
  </si>
  <si>
    <t>Omregningsfaktor</t>
  </si>
  <si>
    <t>Pensionsprocent</t>
  </si>
  <si>
    <t>Ja</t>
  </si>
  <si>
    <t>Nej</t>
  </si>
  <si>
    <t>Grundlønstillæg</t>
  </si>
  <si>
    <t>Tillæg til grundlønnen</t>
  </si>
  <si>
    <t>Vejledende noter</t>
  </si>
  <si>
    <t>Evt. MGK-tillæg, antal</t>
  </si>
  <si>
    <t>MGK-tillæg</t>
  </si>
  <si>
    <t>Trinløn/år, lærere</t>
  </si>
  <si>
    <t>Trinløn/år ledere</t>
  </si>
  <si>
    <t>Musikskolelærere</t>
  </si>
  <si>
    <t>Musikskoleledere</t>
  </si>
  <si>
    <t>Kolonne/stedtillæg</t>
  </si>
  <si>
    <t>Trinløn pension</t>
  </si>
  <si>
    <t>Pensionsgivende trinløn, lærere</t>
  </si>
  <si>
    <t>Pensionsgivende trinløn, ledere</t>
  </si>
  <si>
    <t>Befordring lav</t>
  </si>
  <si>
    <t>Befordring høj</t>
  </si>
  <si>
    <t>Befordringsgodtgørelse, lav takst</t>
  </si>
  <si>
    <t>Befordringsgodtgørelse, høj takst</t>
  </si>
  <si>
    <t>Kørte km, lav takst</t>
  </si>
  <si>
    <t>Kørte km, høj takst</t>
  </si>
  <si>
    <t>Antal kørte km., lav takst</t>
  </si>
  <si>
    <t>Antal kørte km., høj takst</t>
  </si>
  <si>
    <t>Resultater</t>
  </si>
  <si>
    <t>Samlet, fast løn før fradrag af arbejdsmarkedsbidrag</t>
  </si>
  <si>
    <t>Samlet, fast løn før skat og fradrag af arbejdsmarledsbidrag</t>
  </si>
  <si>
    <t>Udbetalt overarbejde</t>
  </si>
  <si>
    <t>Udbetalt merarbejde</t>
  </si>
  <si>
    <t>Udbetalt overarbejde, antal timer</t>
  </si>
  <si>
    <t>År</t>
  </si>
  <si>
    <t>Måned</t>
  </si>
  <si>
    <t>ATP, egetbidrag</t>
  </si>
  <si>
    <t>ATP egetbidrag</t>
  </si>
  <si>
    <t>Månedens samlede udbetaling før fradrag af arbejdsmarkedsbidrag og skat</t>
  </si>
  <si>
    <t>Månedens samlede udbetaling før fradrag af egetbidrag til ATP, arbejdsmarkedsbidrag og skat</t>
  </si>
  <si>
    <t>Kronetillæg pr. år i grundniveau, reduceres ift. ansættelsesgraden</t>
  </si>
  <si>
    <t>Kronetillæg pr. år i grundniveau, reduceres ikke ift. ansættelsesgraden</t>
  </si>
  <si>
    <t xml:space="preserve">Pensionsgivende grundlønstillæg for alle musikskolelærere pr. år, fuld tid: </t>
  </si>
  <si>
    <t xml:space="preserve">Pensionsgivende grundlønstillæg for alle musikskolelærere pr. måned, fuld tid: </t>
  </si>
  <si>
    <t>Grundlønstillægget reduceres ift. ansættelsesgraden.</t>
  </si>
  <si>
    <t xml:space="preserve">Månedsløn i alt inkl. områdetillæg </t>
  </si>
  <si>
    <t>Løntrin </t>
  </si>
  <si>
    <t>Pensionsgivende årsløn i alt</t>
  </si>
  <si>
    <t>inkl. områdetillæg</t>
  </si>
  <si>
    <t>Gruppeoversigt</t>
  </si>
  <si>
    <t>Region Hovedstaden</t>
  </si>
  <si>
    <t>Region Sjælland</t>
  </si>
  <si>
    <t>Region Syddanmark</t>
  </si>
  <si>
    <t>Region Midtjylland</t>
  </si>
  <si>
    <t>Region Nordjylland</t>
  </si>
  <si>
    <t>Aktuelt årligt beløb</t>
  </si>
  <si>
    <t>Aktuelt mdr. beløb</t>
  </si>
  <si>
    <t>Pension af årligt beløb</t>
  </si>
  <si>
    <t>Årligt beløb inkl. pension</t>
  </si>
  <si>
    <t>Grund-beløb 31.3.2000</t>
  </si>
  <si>
    <t>Eksempler på kronebeløb, musikskolelærere</t>
  </si>
  <si>
    <t>*</t>
  </si>
  <si>
    <t xml:space="preserve">Reguleringsfaktor: </t>
  </si>
  <si>
    <t>Eksempel på en musikskolelærer med:</t>
  </si>
  <si>
    <t>Beskæftigelsesgrad: 30/37</t>
  </si>
  <si>
    <t xml:space="preserve">Løntrin: 41 (gruppe 2) </t>
  </si>
  <si>
    <t>Funktionstillæg: 7.900 kr. pr. år (31.03.2000-niveau), reduceres ej i forhold til beskæftigelsesgrad</t>
  </si>
  <si>
    <t>Årsløn, trinløn</t>
  </si>
  <si>
    <t xml:space="preserve"> </t>
  </si>
  <si>
    <t>=</t>
  </si>
  <si>
    <t>Årligt pensions-bidrag af trinløn</t>
  </si>
  <si>
    <t>/</t>
  </si>
  <si>
    <t>30/37</t>
  </si>
  <si>
    <t>30/37/100</t>
  </si>
  <si>
    <r>
      <t xml:space="preserve">* </t>
    </r>
    <r>
      <rPr>
        <sz val="9"/>
        <color theme="1"/>
        <rFont val="Calibri"/>
        <family val="2"/>
        <scheme val="minor"/>
      </rPr>
      <t>Tillæg til grundlønnen for musikskolelærere</t>
    </r>
  </si>
  <si>
    <t>Grundbeløb 31.3.2000</t>
  </si>
  <si>
    <t xml:space="preserve">Det aftalte kronetillæg i grundniveau (31.3.2000-niveau) ganges med den aktuelle reguleringsfaktor: </t>
  </si>
  <si>
    <t>**</t>
  </si>
  <si>
    <t>Eksempler på kronebeløb, musikskoleledere</t>
  </si>
  <si>
    <t>Eksempel for en musikskoleleder med:</t>
  </si>
  <si>
    <t>Årsløn, kronetillæg 30.000 i grundniveau:</t>
  </si>
  <si>
    <t xml:space="preserve">Pensionsprocent for musikskolelærere: </t>
  </si>
  <si>
    <t>Læreren i eksemplet har har ikke valgt at få dele af pensionen udbetalt kontant.</t>
  </si>
  <si>
    <t>For den del af pensionen, som overstiger 15,40 %, kan man vælge at få pensionen udbetalt kontant (fritvalgsordning).</t>
  </si>
  <si>
    <t>Penionsprocent for musikskoleledere:</t>
  </si>
  <si>
    <t>For den del af pensionen, som overstiger 15,40 %, er der mulighed for at vælge at få pensionen udbetalt kontant (fritvalgsordning). Lederen i eksemplet har ikke valgt at få udbetalt pension kontant.</t>
  </si>
  <si>
    <t>Årligt pensions-bidrag af kronetillæg:</t>
  </si>
  <si>
    <t>Årligt pensions-bidrag af trinløn:</t>
  </si>
  <si>
    <t>Årligt pensions-bidrag i alt</t>
  </si>
  <si>
    <t>Månedligt pensions-bidrag i alt</t>
  </si>
  <si>
    <t>timeløn + 50 %</t>
  </si>
  <si>
    <t>Godtgørelse for tredelt tjeneste iht. arbejdstidsaftalens § 12, stk. 1</t>
  </si>
  <si>
    <t>pr. påbegyndt dag</t>
  </si>
  <si>
    <t>Tillæg ved deltagelse i øveture, koncertrejser mv. på lørdage, søndage og helligdage iht. arbejdstidsaftalens § 13, stk. 2</t>
  </si>
  <si>
    <t>eller</t>
  </si>
  <si>
    <t>afspadsering af tiden + 50 %</t>
  </si>
  <si>
    <t>Delt tjeneste, § 12 stk. 1</t>
  </si>
  <si>
    <t>Delt tjeneste, § 12 stk. 2</t>
  </si>
  <si>
    <t>Tillæg, øveture, hverdag</t>
  </si>
  <si>
    <t>Tillæg, øveture, weekend</t>
  </si>
  <si>
    <t xml:space="preserve">Tillæg ved deltagelse i øveture, koncertrejser mv. på hverdage iht. arbejdstidsaftalens § 13, stk. 1 </t>
  </si>
  <si>
    <t>pr.  time</t>
  </si>
  <si>
    <t xml:space="preserve">Takster for tjenestekørsel i egen bil: </t>
  </si>
  <si>
    <t>Høj takst:</t>
  </si>
  <si>
    <t>Lav takst:</t>
  </si>
  <si>
    <t>Års- og månedløn (ekskl. pension og feriepenge)</t>
  </si>
  <si>
    <t>Års- og månedløn (ekskl. pension og feriepenge):</t>
  </si>
  <si>
    <t xml:space="preserve">Godtgørelse for delt tjeneste, hvis samlede varighed inkl. de mellemliggende timer strækker sig udover 11 timer iht. arbejdstidsaftalens § 12, stk. 2. Udbetales pr. påbegyndt halve time. </t>
  </si>
  <si>
    <t>I Alt Pr. Måned</t>
  </si>
  <si>
    <t>Ansættelses-grad</t>
  </si>
  <si>
    <t>Arbejds-giverandel</t>
  </si>
  <si>
    <t>Lønmodtager-andel</t>
  </si>
  <si>
    <r>
      <rPr>
        <sz val="12"/>
        <color rgb="FFBC0515"/>
        <rFont val="Calibri"/>
        <family val="2"/>
        <scheme val="minor"/>
      </rPr>
      <t>***</t>
    </r>
    <r>
      <rPr>
        <sz val="12"/>
        <color theme="0"/>
        <rFont val="Calibri"/>
        <family val="2"/>
        <scheme val="minor"/>
      </rPr>
      <t>Ulempegodtgørelse (hverdage mellem kl. 17-06, weekender mv.)</t>
    </r>
  </si>
  <si>
    <r>
      <rPr>
        <sz val="11"/>
        <color rgb="FFBC0515"/>
        <rFont val="Calibri"/>
        <family val="2"/>
        <scheme val="minor"/>
      </rPr>
      <t>***</t>
    </r>
    <r>
      <rPr>
        <sz val="11"/>
        <color theme="0"/>
        <rFont val="Calibri"/>
        <family val="2"/>
        <scheme val="minor"/>
      </rPr>
      <t>Weekendgodtgørelse (weekender og søgnehelligdage)</t>
    </r>
  </si>
  <si>
    <t>Årsløn i alt inkl. områdetillæg</t>
  </si>
  <si>
    <t xml:space="preserve">Grundlønstillæg: 1500 kr. pr. år på fuld tid (31.03.2000-niveau), reduceres i forhold til beskæftigelsesgrad </t>
  </si>
  <si>
    <t>Årligt pensions-bidrag af tillæg til grund-lønnen</t>
  </si>
  <si>
    <t>Løntrin: 50 (gruppe 3)</t>
  </si>
  <si>
    <t>Kvalifikationstillæg: 30.000 kr./år i 31/3 2000-niveau</t>
  </si>
  <si>
    <t xml:space="preserve"> kr. pr. km</t>
  </si>
  <si>
    <t>Årsgrundlag</t>
  </si>
  <si>
    <t>Timeløn (lønfradrag)</t>
  </si>
  <si>
    <t>Under 39 timer/måned</t>
  </si>
  <si>
    <t>39 til &lt;78 timer/måned</t>
  </si>
  <si>
    <t>78 - &lt;117 timer/md.</t>
  </si>
  <si>
    <t>9/37-17,99/37</t>
  </si>
  <si>
    <r>
      <rPr>
        <b/>
        <sz val="16"/>
        <color rgb="FFFF5955"/>
        <rFont val="Calibri"/>
        <family val="2"/>
        <scheme val="minor"/>
      </rPr>
      <t>Eksempler på kronetillæg,</t>
    </r>
    <r>
      <rPr>
        <b/>
        <sz val="16"/>
        <color rgb="FFBC0515"/>
        <rFont val="Calibri"/>
        <family val="2"/>
        <scheme val="minor"/>
      </rPr>
      <t xml:space="preserve"> </t>
    </r>
    <r>
      <rPr>
        <b/>
        <sz val="16"/>
        <color rgb="FF0076DA"/>
        <rFont val="Calibri"/>
        <family val="2"/>
        <scheme val="minor"/>
      </rPr>
      <t>musikskolelærere</t>
    </r>
    <r>
      <rPr>
        <b/>
        <sz val="16"/>
        <color rgb="FFFF5955"/>
        <rFont val="Calibri"/>
        <family val="2"/>
        <scheme val="minor"/>
      </rPr>
      <t>:</t>
    </r>
  </si>
  <si>
    <r>
      <rPr>
        <b/>
        <sz val="16"/>
        <color rgb="FFFF5955"/>
        <rFont val="Calibri"/>
        <family val="2"/>
        <scheme val="minor"/>
      </rPr>
      <t>Beregning af årsløn og månedsløn,</t>
    </r>
    <r>
      <rPr>
        <b/>
        <sz val="16"/>
        <color rgb="FFBC0515"/>
        <rFont val="Calibri"/>
        <family val="2"/>
        <scheme val="minor"/>
      </rPr>
      <t xml:space="preserve"> </t>
    </r>
    <r>
      <rPr>
        <b/>
        <sz val="16"/>
        <color rgb="FF003FC2"/>
        <rFont val="Calibri"/>
        <family val="2"/>
        <scheme val="minor"/>
      </rPr>
      <t>musikskolelærere</t>
    </r>
    <r>
      <rPr>
        <b/>
        <sz val="16"/>
        <color rgb="FFFF5955"/>
        <rFont val="Calibri"/>
        <family val="2"/>
        <scheme val="minor"/>
      </rPr>
      <t>:</t>
    </r>
  </si>
  <si>
    <r>
      <t>Pensionsbidraget for ovenstående lærer beregnes på flg. måde (</t>
    </r>
    <r>
      <rPr>
        <b/>
        <sz val="11"/>
        <color rgb="FFFF5955"/>
        <rFont val="Calibri"/>
        <family val="2"/>
        <scheme val="minor"/>
      </rPr>
      <t>husk at hente det aktuelle løntrin i tabellen for pensionsgivende årslønninger</t>
    </r>
    <r>
      <rPr>
        <b/>
        <sz val="11"/>
        <color theme="1"/>
        <rFont val="Calibri"/>
        <family val="2"/>
        <scheme val="minor"/>
      </rPr>
      <t xml:space="preserve">): </t>
    </r>
  </si>
  <si>
    <r>
      <rPr>
        <b/>
        <sz val="16"/>
        <color rgb="FFFF5955"/>
        <rFont val="Calibri"/>
        <family val="2"/>
        <scheme val="minor"/>
      </rPr>
      <t>Beregning af pension,</t>
    </r>
    <r>
      <rPr>
        <b/>
        <sz val="16"/>
        <color rgb="FFBC0515"/>
        <rFont val="Calibri"/>
        <family val="2"/>
        <scheme val="minor"/>
      </rPr>
      <t xml:space="preserve"> </t>
    </r>
    <r>
      <rPr>
        <b/>
        <sz val="16"/>
        <color rgb="FF003FC2"/>
        <rFont val="Calibri"/>
        <family val="2"/>
        <scheme val="minor"/>
      </rPr>
      <t>musikskolelærere</t>
    </r>
    <r>
      <rPr>
        <b/>
        <sz val="16"/>
        <color rgb="FFFF5955"/>
        <rFont val="Calibri"/>
        <family val="2"/>
        <scheme val="minor"/>
      </rPr>
      <t>:</t>
    </r>
  </si>
  <si>
    <r>
      <rPr>
        <b/>
        <sz val="16"/>
        <color rgb="FFFF5955"/>
        <rFont val="Calibri"/>
        <family val="2"/>
        <scheme val="minor"/>
      </rPr>
      <t xml:space="preserve">Beregning af årsløn og månedsløn, </t>
    </r>
    <r>
      <rPr>
        <b/>
        <sz val="16"/>
        <color rgb="FF003FC2"/>
        <rFont val="Calibri"/>
        <family val="2"/>
        <scheme val="minor"/>
      </rPr>
      <t>musikskoleledere og -mellemledere:</t>
    </r>
  </si>
  <si>
    <t xml:space="preserve">*Løntrin** </t>
  </si>
  <si>
    <r>
      <rPr>
        <b/>
        <sz val="11"/>
        <color rgb="FFFF5955"/>
        <rFont val="Calibri"/>
        <family val="2"/>
        <scheme val="minor"/>
      </rPr>
      <t>Tillæg red. ift.ansættelsesgrade</t>
    </r>
    <r>
      <rPr>
        <sz val="11"/>
        <color rgb="FFFF5955"/>
        <rFont val="Calibri"/>
        <family val="2"/>
        <scheme val="minor"/>
      </rPr>
      <t>n</t>
    </r>
  </si>
  <si>
    <t>1/10 2024</t>
  </si>
  <si>
    <t>Nordfyn</t>
  </si>
  <si>
    <t>Løn, Troels Tidevand</t>
  </si>
  <si>
    <t>Trin</t>
  </si>
  <si>
    <t>Vædi af trin/år</t>
  </si>
  <si>
    <t>Tillæg i grundniveau</t>
  </si>
  <si>
    <t>Værdi af tillæg/år</t>
  </si>
  <si>
    <t>Årsløn</t>
  </si>
  <si>
    <t>Grundløn</t>
  </si>
  <si>
    <t>Garantiløn (K)</t>
  </si>
  <si>
    <t>Tillæg iht. forhåndsaftale (F)</t>
  </si>
  <si>
    <t>Grundlønstillæg (reduceres ift. ansættelsesgraden)</t>
  </si>
  <si>
    <t>Kronetillæg, flere fag (red. ift. ansættelsesgraden)</t>
  </si>
  <si>
    <t>I alt</t>
  </si>
  <si>
    <t>Pension, Troels Tidevand</t>
  </si>
  <si>
    <t>Pensions-%</t>
  </si>
  <si>
    <t>Pension/år</t>
  </si>
  <si>
    <t>Pension/måned</t>
  </si>
  <si>
    <t xml:space="preserve">Kronetillæg </t>
  </si>
  <si>
    <t>Pensionsgivende løn i alt</t>
  </si>
  <si>
    <t>Værdi af særlig feriegodtgørelse</t>
  </si>
  <si>
    <t>Værdi af særlig feriegodtgørelse, ferietillæg og forhøjet ferietillæg</t>
  </si>
  <si>
    <t>Årlig udgift, sammenlagt:</t>
  </si>
  <si>
    <t>MM tager forbehold for fejl og mangler i dette skema. Kontakt sekretariatet for hjælp og vejledning eller med kommentarer og forslag.</t>
  </si>
  <si>
    <r>
      <t>Ulempegodtgørelse pr. time</t>
    </r>
    <r>
      <rPr>
        <b/>
        <sz val="11"/>
        <color rgb="FFC00000"/>
        <rFont val="Calibri (Tekst)"/>
      </rPr>
      <t>****</t>
    </r>
  </si>
  <si>
    <t xml:space="preserve">Pension </t>
  </si>
  <si>
    <r>
      <rPr>
        <b/>
        <sz val="11"/>
        <color rgb="FFC00000"/>
        <rFont val="Calibri (Tekst)"/>
      </rPr>
      <t>*</t>
    </r>
    <r>
      <rPr>
        <b/>
        <sz val="11"/>
        <color rgb="FFFF5955"/>
        <rFont val="Calibri"/>
        <family val="2"/>
        <scheme val="minor"/>
      </rPr>
      <t>Ansættelseskommune (klik i det blå felt, klik på pil til højre, vælg fra listen)</t>
    </r>
  </si>
  <si>
    <r>
      <rPr>
        <b/>
        <sz val="11"/>
        <color rgb="FFC00000"/>
        <rFont val="Calibri (Tekst)"/>
      </rPr>
      <t>*</t>
    </r>
    <r>
      <rPr>
        <b/>
        <sz val="11"/>
        <color rgb="FFFF5955"/>
        <rFont val="Calibri"/>
        <family val="2"/>
        <scheme val="minor"/>
      </rPr>
      <t xml:space="preserve">Ansættelsesgrad: </t>
    </r>
  </si>
  <si>
    <r>
      <t>Kronetillæg pr. år i grundniveau, reduceres ift. ansættelsesgraden</t>
    </r>
    <r>
      <rPr>
        <b/>
        <sz val="11"/>
        <color rgb="FFC00000"/>
        <rFont val="Calibri (Tekst)"/>
      </rPr>
      <t>***</t>
    </r>
  </si>
  <si>
    <r>
      <t>Kroneillæg pr. år i grundniveau, reduceres ikke ift. ansættelsesgraden</t>
    </r>
    <r>
      <rPr>
        <b/>
        <sz val="11"/>
        <color rgb="FFC00000"/>
        <rFont val="Calibri (Tekst)"/>
      </rPr>
      <t>***</t>
    </r>
  </si>
  <si>
    <r>
      <rPr>
        <b/>
        <sz val="11"/>
        <color rgb="FFC00000"/>
        <rFont val="Calibri (Tekst)"/>
      </rPr>
      <t>*</t>
    </r>
    <r>
      <rPr>
        <b/>
        <sz val="11"/>
        <color rgb="FFFF5955"/>
        <rFont val="Calibri"/>
        <family val="2"/>
        <scheme val="minor"/>
      </rPr>
      <t>Ansættelseskommune</t>
    </r>
    <r>
      <rPr>
        <b/>
        <sz val="11"/>
        <color theme="4"/>
        <rFont val="Calibri"/>
        <family val="2"/>
        <scheme val="minor"/>
      </rPr>
      <t xml:space="preserve"> (klik i det blå felt, klik på pil til højre, vælg fra listen)</t>
    </r>
  </si>
  <si>
    <r>
      <rPr>
        <b/>
        <sz val="11"/>
        <color rgb="FFC00000"/>
        <rFont val="Calibri (Tekst)"/>
      </rPr>
      <t>*</t>
    </r>
    <r>
      <rPr>
        <b/>
        <sz val="11"/>
        <color rgb="FFFF5955"/>
        <rFont val="Calibri"/>
        <family val="2"/>
        <scheme val="minor"/>
      </rPr>
      <t>Løntrin</t>
    </r>
    <r>
      <rPr>
        <b/>
        <sz val="11"/>
        <color rgb="FFC00000"/>
        <rFont val="Calibri (Tekst)"/>
      </rPr>
      <t xml:space="preserve">** </t>
    </r>
  </si>
  <si>
    <r>
      <rPr>
        <b/>
        <sz val="11"/>
        <color rgb="FFC00000"/>
        <rFont val="Calibri (Tekst)"/>
      </rPr>
      <t>*</t>
    </r>
    <r>
      <rPr>
        <b/>
        <sz val="11"/>
        <color rgb="FFFF5955"/>
        <rFont val="Calibri"/>
        <family val="2"/>
        <scheme val="minor"/>
      </rPr>
      <t>Evt. grundlønstillæg</t>
    </r>
    <r>
      <rPr>
        <b/>
        <sz val="11"/>
        <color rgb="FFC00000"/>
        <rFont val="Calibri (Tekst)"/>
      </rPr>
      <t>***</t>
    </r>
  </si>
  <si>
    <r>
      <t>Grundlønstillæg</t>
    </r>
    <r>
      <rPr>
        <b/>
        <sz val="11"/>
        <color rgb="FFC00000"/>
        <rFont val="Calibri (Tekst)"/>
      </rPr>
      <t>***</t>
    </r>
  </si>
  <si>
    <r>
      <t>Pension</t>
    </r>
    <r>
      <rPr>
        <b/>
        <sz val="11"/>
        <color rgb="FFC00000"/>
        <rFont val="Calibri (Tekst)"/>
      </rPr>
      <t>****</t>
    </r>
  </si>
  <si>
    <r>
      <rPr>
        <b/>
        <sz val="16"/>
        <color rgb="FFFF5955"/>
        <rFont val="Calibri"/>
        <family val="2"/>
        <scheme val="minor"/>
      </rPr>
      <t xml:space="preserve">Beregning af kronetillæg, </t>
    </r>
    <r>
      <rPr>
        <b/>
        <sz val="16"/>
        <color rgb="FF003FC2"/>
        <rFont val="Calibri"/>
        <family val="2"/>
        <scheme val="minor"/>
      </rPr>
      <t>musikskolelærere</t>
    </r>
    <r>
      <rPr>
        <b/>
        <sz val="16"/>
        <color rgb="FFFF5955"/>
        <rFont val="Calibri"/>
        <family val="2"/>
        <scheme val="minor"/>
      </rPr>
      <t>:</t>
    </r>
  </si>
  <si>
    <r>
      <rPr>
        <b/>
        <sz val="16"/>
        <color rgb="FFFF5955"/>
        <rFont val="Calibri"/>
        <family val="2"/>
        <scheme val="minor"/>
      </rPr>
      <t xml:space="preserve">Beregning af kronetillæg, </t>
    </r>
    <r>
      <rPr>
        <b/>
        <sz val="16"/>
        <color rgb="FF003FC2"/>
        <rFont val="Calibri"/>
        <family val="2"/>
        <scheme val="minor"/>
      </rPr>
      <t>musikskoleledere og -mellemledere</t>
    </r>
    <r>
      <rPr>
        <b/>
        <sz val="16"/>
        <color rgb="FFFF5955"/>
        <rFont val="Calibri"/>
        <family val="2"/>
        <scheme val="minor"/>
      </rPr>
      <t xml:space="preserve">: </t>
    </r>
  </si>
  <si>
    <r>
      <rPr>
        <b/>
        <sz val="16"/>
        <color rgb="FFFF5955"/>
        <rFont val="Calibri"/>
        <family val="2"/>
        <scheme val="minor"/>
      </rPr>
      <t>Eksempler på kronetillæg</t>
    </r>
    <r>
      <rPr>
        <b/>
        <sz val="16"/>
        <color rgb="FFBC0515"/>
        <rFont val="Calibri"/>
        <family val="2"/>
        <scheme val="minor"/>
      </rPr>
      <t xml:space="preserve">, </t>
    </r>
    <r>
      <rPr>
        <b/>
        <sz val="16"/>
        <color rgb="FF003FC2"/>
        <rFont val="Calibri"/>
        <family val="2"/>
        <scheme val="minor"/>
      </rPr>
      <t>musikskoleledere og -mellemledere</t>
    </r>
    <r>
      <rPr>
        <b/>
        <sz val="16"/>
        <color rgb="FFFF5955"/>
        <rFont val="Calibri"/>
        <family val="2"/>
        <scheme val="minor"/>
      </rPr>
      <t>:</t>
    </r>
  </si>
  <si>
    <r>
      <t>**</t>
    </r>
    <r>
      <rPr>
        <sz val="9"/>
        <color theme="1"/>
        <rFont val="Calibri"/>
        <family val="2"/>
        <scheme val="minor"/>
      </rPr>
      <t>MGK-tillæg for ledere</t>
    </r>
  </si>
  <si>
    <r>
      <rPr>
        <b/>
        <sz val="16"/>
        <color rgb="FFFF5955"/>
        <rFont val="Calibri"/>
        <family val="2"/>
        <scheme val="minor"/>
      </rPr>
      <t>Beregning af pension,</t>
    </r>
    <r>
      <rPr>
        <b/>
        <sz val="16"/>
        <color rgb="FF003FC2"/>
        <rFont val="Calibri"/>
        <family val="2"/>
        <scheme val="minor"/>
      </rPr>
      <t xml:space="preserve"> musikskoleledere og -mellemledere</t>
    </r>
    <r>
      <rPr>
        <b/>
        <sz val="16"/>
        <color rgb="FFFF5955"/>
        <rFont val="Calibri"/>
        <family val="2"/>
        <scheme val="minor"/>
      </rPr>
      <t>:</t>
    </r>
  </si>
  <si>
    <r>
      <t>Pensionsbidraget for ovenstående leder beregnes på flg. måde (</t>
    </r>
    <r>
      <rPr>
        <b/>
        <sz val="11"/>
        <color rgb="FFFF5955"/>
        <rFont val="Calibri"/>
        <family val="2"/>
        <scheme val="minor"/>
      </rPr>
      <t>husk at hente det aktuelle løntrin i tabellen for pensionsgivende årslønninger</t>
    </r>
    <r>
      <rPr>
        <b/>
        <sz val="11"/>
        <color theme="1"/>
        <rFont val="Calibri"/>
        <family val="2"/>
        <scheme val="minor"/>
      </rPr>
      <t xml:space="preserve">): </t>
    </r>
  </si>
  <si>
    <r>
      <rPr>
        <sz val="11"/>
        <color rgb="FFBC0515"/>
        <rFont val="Calibri"/>
        <family val="2"/>
        <scheme val="minor"/>
      </rPr>
      <t>***</t>
    </r>
    <r>
      <rPr>
        <sz val="11"/>
        <color theme="1"/>
        <rFont val="Calibri"/>
        <family val="2"/>
        <scheme val="minor"/>
      </rPr>
      <t>For arbejde i weekender og på søgnehelligdage skal der ydes både ulempegodtgørelse
 og weekendgodtgørelse.</t>
    </r>
  </si>
  <si>
    <t xml:space="preserve">Særlige ydelser, musikskolelærere: </t>
  </si>
  <si>
    <t xml:space="preserve">ATP-satser </t>
  </si>
  <si>
    <t>Kalenderår til ATP-satser i løntabellen</t>
  </si>
  <si>
    <r>
      <rPr>
        <sz val="11"/>
        <color rgb="FFBC0515"/>
        <rFont val="Calibri"/>
        <family val="2"/>
        <scheme val="minor"/>
      </rPr>
      <t>****</t>
    </r>
    <r>
      <rPr>
        <sz val="11"/>
        <color rgb="FF003FC2"/>
        <rFont val="Calibri (Tekst)"/>
      </rPr>
      <t xml:space="preserve">For hver time, du har arbejdet i tidsrummet kl. 17-06, i hele døgnet på weekend- eller helligdage samt juleaften efter kl. 14 og grundlovsdag efter kl. 12, udbetales en ulempegodtgørelse. Hvis du har aftalt med din leder, at din ulempegodtgørelse i stedet afspadseres, har feltet ikke relevans for dig. </t>
    </r>
  </si>
  <si>
    <r>
      <t>***</t>
    </r>
    <r>
      <rPr>
        <sz val="11"/>
        <color rgb="FF003FC2"/>
        <rFont val="Calibri (Tekst)"/>
      </rPr>
      <t>Hvis du, ud over løntrin, har tillæg, som er defineret som et antal kr. pr. år (kronetillæg), kan det være aftalt, at tillægget skal beregnes efter din ansættelsesgrad eller, med andre ord, reduceres i forhold til ansættelsesgraden. Andre tillæg er aftalt til at være det samme antal kr. pr. år, uanset hvad din ansættelsesgrad i øvrigt måtte være. Spørg din leder eller TR, hvis du er i tvivl - eller kontakt MM.</t>
    </r>
    <r>
      <rPr>
        <sz val="11"/>
        <color rgb="FF003FC2"/>
        <rFont val="Calibri"/>
        <family val="2"/>
        <scheme val="minor"/>
      </rPr>
      <t xml:space="preserve"> </t>
    </r>
  </si>
  <si>
    <r>
      <t>**</t>
    </r>
    <r>
      <rPr>
        <sz val="11"/>
        <color rgb="FF003FC2"/>
        <rFont val="Calibri (Tekst)"/>
      </rPr>
      <t>Det trin, du lander på, når alle trin er lagt sammen. Spørg evt. din TR eller leder, hvis du er i tvivl - eller kontakt MM</t>
    </r>
  </si>
  <si>
    <r>
      <t>*</t>
    </r>
    <r>
      <rPr>
        <sz val="11"/>
        <color rgb="FF003FC2"/>
        <rFont val="Calibri (Tekst)"/>
      </rPr>
      <t>Disse felter skal udfyldes</t>
    </r>
  </si>
  <si>
    <r>
      <t>***</t>
    </r>
    <r>
      <rPr>
        <sz val="11"/>
        <color rgb="FF003FC2"/>
        <rFont val="Calibri (Tekst)"/>
      </rPr>
      <t>Ledere med en ansættelse før d. 1/4 2011 vil i mange tilfælde have bevaret et grundlønstillæg på 3600 kr. i grundniveau. Kontakt MM i tvivlstilfælde.</t>
    </r>
  </si>
  <si>
    <r>
      <t>****</t>
    </r>
    <r>
      <rPr>
        <sz val="11"/>
        <color rgb="FF003FC2"/>
        <rFont val="Calibri (Tekst)"/>
      </rPr>
      <t xml:space="preserve">Hvis du har valgt at gøre brug af fritvalgsordningen (mindre pensionsindbetaling) eller frivillig indbetaling af mere til pensionsordningen, skal pensionen beregnes på en anden måde. </t>
    </r>
  </si>
  <si>
    <r>
      <t>**</t>
    </r>
    <r>
      <rPr>
        <sz val="11"/>
        <color rgb="FF003FC2"/>
        <rFont val="Calibri (Tekst)"/>
      </rPr>
      <t>Det trin, du lander på, når alle trin er lagt sammen</t>
    </r>
  </si>
  <si>
    <r>
      <rPr>
        <sz val="11"/>
        <color rgb="FFC00000"/>
        <rFont val="Calibri (Tekst)"/>
      </rPr>
      <t>*</t>
    </r>
    <r>
      <rPr>
        <sz val="11"/>
        <color rgb="FF003FC2"/>
        <rFont val="Calibri (Tekst)"/>
      </rPr>
      <t>Disse felter skal udfyldes</t>
    </r>
  </si>
  <si>
    <t>Pension, læ</t>
  </si>
  <si>
    <t>Pension, le</t>
  </si>
  <si>
    <t>Lønseddeltjek, musik- og kulturskolelærere fra d. 1. april 2026 til d. 30. september 2026</t>
  </si>
  <si>
    <t>Lønseddeltjek, musikskoleledere/-mellemledere fra d. 1. april 2026 til d. 30. september 2026</t>
  </si>
  <si>
    <t>Udbetalt merarbejde (optjent før d. 1/4 2026), antal timer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</si>
</sst>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00\ &quot;kr.&quot;"/>
    <numFmt numFmtId="165" formatCode="0.000000"/>
    <numFmt numFmtId="166" formatCode="#,##0.000000"/>
    <numFmt numFmtId="167" formatCode="#,##0.000000;\-#,##0.000000"/>
    <numFmt numFmtId="168" formatCode="_-* #,##0_-;\-* #,##0_-;_-* &quot;-&quot;??_-;_-@_-"/>
    <numFmt numFmtId="169" formatCode="_-* #,##0.00\ [$kr.-406]_-;\-* #,##0.00\ [$kr.-406]_-;_-* &quot;-&quot;??\ [$kr.-406]_-;_-@_-"/>
  </numFmts>
  <fonts count="65">
    <font>
      <sz val="11"/>
      <color theme="1"/>
      <name val="Calibri"/>
      <family val="2"/>
      <scheme val="minor"/>
    </font>
    <font>
      <sz val="12"/>
      <color theme="1"/>
      <name val="Calibri"/>
      <family val="2"/>
      <scheme val="minor"/>
    </font>
    <font>
      <sz val="11"/>
      <name val="Calibri"/>
      <family val="2"/>
      <scheme val="minor"/>
    </font>
    <font>
      <b/>
      <sz val="11"/>
      <color theme="1"/>
      <name val="Calibri"/>
      <family val="2"/>
      <scheme val="minor"/>
    </font>
    <font>
      <sz val="11"/>
      <color theme="0"/>
      <name val="Calibri"/>
      <family val="2"/>
      <scheme val="minor"/>
    </font>
    <font>
      <sz val="11"/>
      <color rgb="FF000000"/>
      <name val="Times New Roman"/>
      <family val="1"/>
    </font>
    <font>
      <sz val="9"/>
      <color rgb="FF000000"/>
      <name val="Times New Roman"/>
      <family val="1"/>
    </font>
    <font>
      <b/>
      <sz val="11"/>
      <color theme="0"/>
      <name val="Calibri"/>
      <family val="2"/>
      <scheme val="minor"/>
    </font>
    <font>
      <b/>
      <sz val="18"/>
      <color rgb="FFBC0515"/>
      <name val="Calibri"/>
      <family val="2"/>
      <scheme val="minor"/>
    </font>
    <font>
      <sz val="18"/>
      <color rgb="FFBC0515"/>
      <name val="Calibri"/>
      <family val="2"/>
      <scheme val="minor"/>
    </font>
    <font>
      <sz val="11"/>
      <color rgb="FFBC0515"/>
      <name val="Calibri"/>
      <family val="2"/>
      <scheme val="minor"/>
    </font>
    <font>
      <b/>
      <sz val="22"/>
      <color rgb="FFBC0515"/>
      <name val="Calibri"/>
      <family val="2"/>
      <scheme val="minor"/>
    </font>
    <font>
      <sz val="11"/>
      <color rgb="FF008DAB"/>
      <name val="Calibri"/>
      <family val="2"/>
      <scheme val="minor"/>
    </font>
    <font>
      <b/>
      <sz val="22"/>
      <color theme="0"/>
      <name val="Calibri"/>
      <family val="2"/>
      <scheme val="minor"/>
    </font>
    <font>
      <sz val="11"/>
      <color rgb="FFC00000"/>
      <name val="Calibri"/>
      <family val="2"/>
      <scheme val="minor"/>
    </font>
    <font>
      <u/>
      <sz val="11"/>
      <color theme="10"/>
      <name val="Calibri"/>
      <family val="2"/>
      <scheme val="minor"/>
    </font>
    <font>
      <sz val="26"/>
      <color rgb="FFBC0515"/>
      <name val="Calibri"/>
      <family val="2"/>
      <scheme val="minor"/>
    </font>
    <font>
      <sz val="12"/>
      <color rgb="FFFFFFFF"/>
      <name val="Calibri"/>
      <family val="2"/>
      <scheme val="minor"/>
    </font>
    <font>
      <sz val="12"/>
      <color rgb="FFBC0515"/>
      <name val="Calibri"/>
      <family val="2"/>
      <scheme val="minor"/>
    </font>
    <font>
      <b/>
      <sz val="9"/>
      <color rgb="FFFFFFFF"/>
      <name val="Calibri"/>
      <family val="2"/>
      <scheme val="minor"/>
    </font>
    <font>
      <sz val="9"/>
      <color rgb="FF000000"/>
      <name val="Calibri"/>
      <family val="2"/>
      <scheme val="minor"/>
    </font>
    <font>
      <sz val="11"/>
      <color rgb="FF000000"/>
      <name val="Calibri"/>
      <family val="2"/>
      <scheme val="minor"/>
    </font>
    <font>
      <sz val="16"/>
      <color rgb="FFBC0515"/>
      <name val="Calibri"/>
      <family val="2"/>
      <scheme val="minor"/>
    </font>
    <font>
      <b/>
      <sz val="11"/>
      <color rgb="FFFFFFFF"/>
      <name val="Calibri"/>
      <family val="2"/>
      <scheme val="minor"/>
    </font>
    <font>
      <sz val="9"/>
      <color theme="1"/>
      <name val="Calibri"/>
      <family val="2"/>
      <scheme val="minor"/>
    </font>
    <font>
      <b/>
      <sz val="12"/>
      <color theme="1"/>
      <name val="Calibri"/>
      <family val="2"/>
      <scheme val="minor"/>
    </font>
    <font>
      <b/>
      <sz val="16"/>
      <color rgb="FFBC0515"/>
      <name val="Calibri"/>
      <family val="2"/>
      <scheme val="minor"/>
    </font>
    <font>
      <b/>
      <sz val="16"/>
      <color theme="1"/>
      <name val="Calibri"/>
      <family val="2"/>
      <scheme val="minor"/>
    </font>
    <font>
      <sz val="12"/>
      <color theme="0"/>
      <name val="Calibri"/>
      <family val="2"/>
      <scheme val="minor"/>
    </font>
    <font>
      <sz val="11"/>
      <color rgb="FF1A1A1A"/>
      <name val="Calibri"/>
      <family val="2"/>
      <scheme val="minor"/>
    </font>
    <font>
      <sz val="11"/>
      <color theme="1"/>
      <name val="Calibri"/>
      <family val="2"/>
      <scheme val="minor"/>
    </font>
    <font>
      <b/>
      <sz val="16"/>
      <color rgb="FF0076DA"/>
      <name val="Calibri"/>
      <family val="2"/>
      <scheme val="minor"/>
    </font>
    <font>
      <b/>
      <sz val="16"/>
      <color rgb="FF003FC2"/>
      <name val="Calibri"/>
      <family val="2"/>
      <scheme val="minor"/>
    </font>
    <font>
      <sz val="16"/>
      <color rgb="FF003FC2"/>
      <name val="Calibri"/>
      <family val="2"/>
      <scheme val="minor"/>
    </font>
    <font>
      <sz val="11"/>
      <color rgb="FFFF5955"/>
      <name val="Calibri"/>
      <family val="2"/>
      <scheme val="minor"/>
    </font>
    <font>
      <sz val="18"/>
      <color rgb="FF003FC2"/>
      <name val="Calibri"/>
      <family val="2"/>
      <scheme val="minor"/>
    </font>
    <font>
      <sz val="26"/>
      <color rgb="FF003FC2"/>
      <name val="Calibri"/>
      <family val="2"/>
      <scheme val="minor"/>
    </font>
    <font>
      <b/>
      <sz val="16"/>
      <color rgb="FFFF5955"/>
      <name val="Calibri"/>
      <family val="2"/>
      <scheme val="minor"/>
    </font>
    <font>
      <b/>
      <sz val="11"/>
      <color rgb="FFFF5955"/>
      <name val="Calibri"/>
      <family val="2"/>
      <scheme val="minor"/>
    </font>
    <font>
      <b/>
      <sz val="8"/>
      <color rgb="FFFF5955"/>
      <name val="Calibri"/>
      <family val="2"/>
      <scheme val="minor"/>
    </font>
    <font>
      <b/>
      <sz val="11"/>
      <color theme="4"/>
      <name val="Calibri"/>
      <family val="2"/>
      <scheme val="minor"/>
    </font>
    <font>
      <sz val="11"/>
      <color theme="1"/>
      <name val="Calibri"/>
      <family val="2"/>
    </font>
    <font>
      <b/>
      <sz val="11"/>
      <color rgb="FFFFFFFF"/>
      <name val="Calibri"/>
      <family val="2"/>
    </font>
    <font>
      <b/>
      <sz val="11"/>
      <color rgb="FFBC0515"/>
      <name val="Calibri"/>
      <family val="2"/>
      <scheme val="minor"/>
    </font>
    <font>
      <sz val="11"/>
      <color rgb="FF000000"/>
      <name val="Calibri"/>
      <family val="2"/>
    </font>
    <font>
      <b/>
      <sz val="11"/>
      <color rgb="FFBC0515"/>
      <name val="Calibri"/>
      <family val="2"/>
    </font>
    <font>
      <b/>
      <sz val="11"/>
      <color rgb="FF000000"/>
      <name val="Calibri"/>
      <family val="2"/>
    </font>
    <font>
      <sz val="9"/>
      <color theme="0"/>
      <name val="Calibri"/>
      <family val="2"/>
      <scheme val="minor"/>
    </font>
    <font>
      <b/>
      <sz val="14"/>
      <color theme="1"/>
      <name val="Calibri"/>
      <family val="2"/>
      <scheme val="minor"/>
    </font>
    <font>
      <sz val="12"/>
      <color theme="1"/>
      <name val="Times New Roman"/>
      <family val="1"/>
    </font>
    <font>
      <sz val="12"/>
      <color theme="1"/>
      <name val="TimesNewRomanPS"/>
    </font>
    <font>
      <b/>
      <sz val="11"/>
      <color rgb="FFC00000"/>
      <name val="Calibri (Tekst)"/>
    </font>
    <font>
      <b/>
      <sz val="8"/>
      <color rgb="FFC00000"/>
      <name val="Calibri"/>
      <family val="2"/>
      <scheme val="minor"/>
    </font>
    <font>
      <u/>
      <sz val="11"/>
      <color rgb="FFC00000"/>
      <name val="Calibri"/>
      <family val="2"/>
      <scheme val="minor"/>
    </font>
    <font>
      <b/>
      <sz val="18"/>
      <color rgb="FF003FC2"/>
      <name val="Calibri"/>
      <family val="2"/>
      <scheme val="minor"/>
    </font>
    <font>
      <b/>
      <sz val="22"/>
      <color rgb="FF003FC2"/>
      <name val="Calibri"/>
      <family val="2"/>
      <scheme val="minor"/>
    </font>
    <font>
      <b/>
      <sz val="11"/>
      <color rgb="FF003FC2"/>
      <name val="Calibri"/>
      <family val="2"/>
      <scheme val="minor"/>
    </font>
    <font>
      <sz val="11"/>
      <color rgb="FF003FC2"/>
      <name val="Calibri"/>
      <family val="2"/>
      <scheme val="minor"/>
    </font>
    <font>
      <sz val="11"/>
      <color rgb="FFC00000"/>
      <name val="Calibri (Tekst)"/>
    </font>
    <font>
      <b/>
      <sz val="11"/>
      <color rgb="FF000000"/>
      <name val="Calibri"/>
      <family val="2"/>
      <scheme val="minor"/>
    </font>
    <font>
      <b/>
      <sz val="11"/>
      <color rgb="FFFF0000"/>
      <name val="Calibri"/>
      <family val="2"/>
      <scheme val="minor"/>
    </font>
    <font>
      <sz val="11"/>
      <color rgb="FF003FC2"/>
      <name val="Calibri (Tekst)"/>
    </font>
    <font>
      <sz val="11"/>
      <color rgb="FF008DAB"/>
      <name val="Calibri (Tekst)"/>
    </font>
    <font>
      <sz val="12"/>
      <name val="Times New Roman"/>
      <family val="1"/>
    </font>
    <font>
      <sz val="12"/>
      <name val="TimesNewRomanPS"/>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1" tint="0.249977111117893"/>
        <bgColor indexed="64"/>
      </patternFill>
    </fill>
    <fill>
      <patternFill patternType="solid">
        <fgColor rgb="FF008DAB"/>
        <bgColor indexed="64"/>
      </patternFill>
    </fill>
    <fill>
      <patternFill patternType="solid">
        <fgColor rgb="FFFF5955"/>
        <bgColor indexed="64"/>
      </patternFill>
    </fill>
    <fill>
      <patternFill patternType="solid">
        <fgColor rgb="FF0076DA"/>
        <bgColor indexed="64"/>
      </patternFill>
    </fill>
    <fill>
      <patternFill patternType="solid">
        <fgColor theme="2" tint="-0.749992370372631"/>
        <bgColor indexed="64"/>
      </patternFill>
    </fill>
    <fill>
      <patternFill patternType="solid">
        <fgColor rgb="FF003FC2"/>
        <bgColor indexed="64"/>
      </patternFill>
    </fill>
  </fills>
  <borders count="73">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15" fillId="0" borderId="0" applyNumberFormat="0" applyFill="0" applyBorder="0" applyAlignment="0" applyProtection="0"/>
    <xf numFmtId="43" fontId="30" fillId="0" borderId="0" applyFont="0" applyFill="0" applyBorder="0" applyAlignment="0" applyProtection="0"/>
    <xf numFmtId="44" fontId="30" fillId="0" borderId="0" applyFont="0" applyFill="0" applyBorder="0" applyAlignment="0" applyProtection="0"/>
  </cellStyleXfs>
  <cellXfs count="626">
    <xf numFmtId="0" fontId="0" fillId="0" borderId="0" xfId="0"/>
    <xf numFmtId="0" fontId="0" fillId="0" borderId="0" xfId="0" applyAlignment="1">
      <alignment wrapText="1"/>
    </xf>
    <xf numFmtId="0" fontId="6" fillId="5" borderId="25" xfId="0" applyFont="1" applyFill="1" applyBorder="1" applyAlignment="1">
      <alignment vertical="center" wrapText="1"/>
    </xf>
    <xf numFmtId="0" fontId="6" fillId="5" borderId="26" xfId="0" applyFont="1" applyFill="1" applyBorder="1" applyAlignment="1">
      <alignment horizontal="center" vertical="center" wrapText="1"/>
    </xf>
    <xf numFmtId="0" fontId="6" fillId="5" borderId="26" xfId="0" applyFont="1" applyFill="1" applyBorder="1" applyAlignment="1">
      <alignment vertical="center" wrapText="1"/>
    </xf>
    <xf numFmtId="0" fontId="6" fillId="0" borderId="26" xfId="0" applyFont="1" applyBorder="1" applyAlignment="1">
      <alignment vertical="center"/>
    </xf>
    <xf numFmtId="0" fontId="5" fillId="0" borderId="0" xfId="0" applyFont="1" applyAlignment="1">
      <alignment vertical="center"/>
    </xf>
    <xf numFmtId="0" fontId="6" fillId="0" borderId="26" xfId="0" applyFont="1" applyBorder="1" applyAlignment="1">
      <alignment horizontal="center" vertical="center"/>
    </xf>
    <xf numFmtId="0" fontId="6" fillId="5" borderId="25" xfId="0" applyFont="1" applyFill="1" applyBorder="1" applyAlignment="1">
      <alignment vertical="center"/>
    </xf>
    <xf numFmtId="0" fontId="6" fillId="5" borderId="26" xfId="0" applyFont="1" applyFill="1" applyBorder="1" applyAlignment="1">
      <alignment vertical="center"/>
    </xf>
    <xf numFmtId="0" fontId="11" fillId="0" borderId="0" xfId="0" applyFont="1" applyAlignment="1">
      <alignment horizontal="center"/>
    </xf>
    <xf numFmtId="0" fontId="7" fillId="0" borderId="0" xfId="0" applyFont="1" applyAlignment="1">
      <alignment wrapText="1"/>
    </xf>
    <xf numFmtId="0" fontId="7" fillId="0" borderId="0" xfId="0" applyFont="1" applyAlignment="1">
      <alignment horizontal="center"/>
    </xf>
    <xf numFmtId="0" fontId="13" fillId="0" borderId="0" xfId="0" applyFont="1" applyAlignment="1">
      <alignment horizontal="center"/>
    </xf>
    <xf numFmtId="2" fontId="7" fillId="0" borderId="0" xfId="0" applyNumberFormat="1" applyFont="1" applyAlignment="1">
      <alignment horizontal="center"/>
    </xf>
    <xf numFmtId="0" fontId="2" fillId="0" borderId="0" xfId="0" applyFont="1"/>
    <xf numFmtId="0" fontId="10" fillId="0" borderId="0" xfId="0" applyFont="1"/>
    <xf numFmtId="0" fontId="8" fillId="0" borderId="0" xfId="0" applyFont="1" applyAlignment="1">
      <alignment horizontal="center"/>
    </xf>
    <xf numFmtId="0" fontId="15" fillId="0" borderId="0" xfId="1" applyFill="1" applyAlignment="1">
      <alignment wrapText="1"/>
    </xf>
    <xf numFmtId="0" fontId="4" fillId="0" borderId="0" xfId="0" applyFont="1"/>
    <xf numFmtId="0" fontId="3" fillId="0" borderId="0" xfId="0" applyFont="1"/>
    <xf numFmtId="0" fontId="10" fillId="0" borderId="0" xfId="0" applyFont="1" applyAlignment="1">
      <alignment horizontal="right"/>
    </xf>
    <xf numFmtId="0" fontId="16" fillId="0" borderId="0" xfId="0" applyFont="1" applyAlignment="1">
      <alignment horizontal="center" vertical="center"/>
    </xf>
    <xf numFmtId="0" fontId="14" fillId="0" borderId="0" xfId="0" applyFont="1" applyAlignment="1">
      <alignment horizontal="left"/>
    </xf>
    <xf numFmtId="0" fontId="9" fillId="0" borderId="0" xfId="0" applyFont="1" applyAlignment="1">
      <alignment horizontal="center" vertical="center"/>
    </xf>
    <xf numFmtId="0" fontId="20" fillId="5" borderId="18" xfId="0" applyFont="1" applyFill="1" applyBorder="1" applyAlignment="1">
      <alignment vertical="center" wrapText="1"/>
    </xf>
    <xf numFmtId="0" fontId="20" fillId="5" borderId="19" xfId="0" applyFont="1" applyFill="1" applyBorder="1" applyAlignment="1">
      <alignment horizontal="center" vertical="center" wrapText="1"/>
    </xf>
    <xf numFmtId="0" fontId="20" fillId="5" borderId="19" xfId="0" applyFont="1" applyFill="1" applyBorder="1" applyAlignment="1">
      <alignment horizontal="left" vertical="center" wrapText="1"/>
    </xf>
    <xf numFmtId="0" fontId="20" fillId="5" borderId="12" xfId="0" applyFont="1" applyFill="1" applyBorder="1" applyAlignment="1">
      <alignment horizontal="center" vertical="center" wrapText="1"/>
    </xf>
    <xf numFmtId="0" fontId="20" fillId="0" borderId="12" xfId="0" applyFont="1" applyBorder="1" applyAlignment="1">
      <alignment horizontal="left" vertical="center"/>
    </xf>
    <xf numFmtId="0" fontId="21" fillId="0" borderId="0" xfId="0" applyFont="1" applyAlignment="1">
      <alignment vertical="center"/>
    </xf>
    <xf numFmtId="0" fontId="20" fillId="5" borderId="10" xfId="0" applyFont="1" applyFill="1" applyBorder="1" applyAlignment="1">
      <alignment vertical="center" wrapText="1"/>
    </xf>
    <xf numFmtId="0" fontId="20" fillId="5" borderId="0" xfId="0" applyFont="1" applyFill="1" applyAlignment="1">
      <alignment vertical="center" wrapText="1"/>
    </xf>
    <xf numFmtId="0" fontId="20" fillId="5" borderId="0" xfId="0" applyFont="1" applyFill="1" applyAlignment="1">
      <alignment horizontal="center" vertical="center" wrapText="1"/>
    </xf>
    <xf numFmtId="0" fontId="10" fillId="0" borderId="0" xfId="0" applyFont="1" applyAlignment="1">
      <alignment horizontal="left" vertical="center" indent="9"/>
    </xf>
    <xf numFmtId="0" fontId="10" fillId="0" borderId="0" xfId="0" applyFont="1" applyAlignment="1">
      <alignment horizontal="left" vertical="center" indent="5"/>
    </xf>
    <xf numFmtId="0" fontId="3" fillId="0" borderId="0" xfId="0" applyFont="1" applyAlignment="1">
      <alignment vertical="center"/>
    </xf>
    <xf numFmtId="0" fontId="3" fillId="0" borderId="42" xfId="0" applyFont="1" applyBorder="1" applyAlignment="1">
      <alignment vertical="center"/>
    </xf>
    <xf numFmtId="0" fontId="16" fillId="0" borderId="0" xfId="0" applyFont="1" applyAlignment="1">
      <alignment vertical="center"/>
    </xf>
    <xf numFmtId="0" fontId="3" fillId="0" borderId="0" xfId="0" applyFont="1" applyAlignment="1">
      <alignment vertical="center" wrapText="1"/>
    </xf>
    <xf numFmtId="8" fontId="3" fillId="0" borderId="26" xfId="0" applyNumberFormat="1" applyFont="1" applyBorder="1" applyAlignment="1">
      <alignment horizontal="right" vertical="center" wrapText="1"/>
    </xf>
    <xf numFmtId="8" fontId="3" fillId="0" borderId="0" xfId="0" applyNumberFormat="1" applyFont="1" applyAlignment="1">
      <alignment horizontal="right" vertical="center" wrapText="1"/>
    </xf>
    <xf numFmtId="8" fontId="3" fillId="0" borderId="53" xfId="0" applyNumberFormat="1" applyFont="1" applyBorder="1" applyAlignment="1">
      <alignment horizontal="center" vertical="center" wrapText="1"/>
    </xf>
    <xf numFmtId="8" fontId="3" fillId="0" borderId="53" xfId="0" applyNumberFormat="1" applyFont="1" applyBorder="1" applyAlignment="1">
      <alignment horizontal="right" vertical="center" wrapText="1"/>
    </xf>
    <xf numFmtId="8" fontId="3" fillId="0" borderId="52" xfId="0" applyNumberFormat="1" applyFont="1" applyBorder="1" applyAlignment="1">
      <alignment horizontal="right" vertical="center" wrapText="1"/>
    </xf>
    <xf numFmtId="4" fontId="2" fillId="0" borderId="58" xfId="0" applyNumberFormat="1" applyFont="1" applyBorder="1" applyAlignment="1">
      <alignment vertical="center"/>
    </xf>
    <xf numFmtId="4" fontId="21" fillId="0" borderId="58" xfId="0" applyNumberFormat="1" applyFont="1" applyBorder="1" applyAlignment="1">
      <alignment horizontal="right" vertical="center"/>
    </xf>
    <xf numFmtId="0" fontId="20" fillId="5" borderId="64" xfId="0" applyFont="1" applyFill="1" applyBorder="1" applyAlignment="1">
      <alignment horizontal="center" vertical="center" wrapText="1"/>
    </xf>
    <xf numFmtId="164" fontId="3" fillId="0" borderId="26" xfId="0" applyNumberFormat="1" applyFont="1" applyBorder="1"/>
    <xf numFmtId="164" fontId="3" fillId="0" borderId="52" xfId="0" applyNumberFormat="1" applyFont="1" applyBorder="1"/>
    <xf numFmtId="4" fontId="3" fillId="0" borderId="0" xfId="0" applyNumberFormat="1" applyFont="1" applyAlignment="1">
      <alignment vertical="center" wrapText="1"/>
    </xf>
    <xf numFmtId="8" fontId="29" fillId="3" borderId="19" xfId="0" applyNumberFormat="1" applyFont="1" applyFill="1" applyBorder="1" applyAlignment="1">
      <alignment vertical="center"/>
    </xf>
    <xf numFmtId="0" fontId="29" fillId="3" borderId="18" xfId="0" applyFont="1" applyFill="1" applyBorder="1" applyAlignment="1">
      <alignment vertical="center"/>
    </xf>
    <xf numFmtId="0" fontId="29" fillId="3" borderId="10" xfId="0" applyFont="1" applyFill="1" applyBorder="1" applyAlignment="1">
      <alignment vertical="center"/>
    </xf>
    <xf numFmtId="8" fontId="29" fillId="3" borderId="12" xfId="0" applyNumberFormat="1" applyFont="1" applyFill="1" applyBorder="1" applyAlignment="1">
      <alignment vertical="center"/>
    </xf>
    <xf numFmtId="0" fontId="22" fillId="0" borderId="0" xfId="0" applyFont="1" applyAlignment="1">
      <alignment horizontal="center" vertical="center"/>
    </xf>
    <xf numFmtId="4" fontId="21" fillId="0" borderId="6" xfId="0" applyNumberFormat="1" applyFont="1" applyBorder="1" applyAlignment="1">
      <alignment horizontal="right" vertical="center"/>
    </xf>
    <xf numFmtId="4" fontId="21" fillId="0" borderId="28" xfId="0" applyNumberFormat="1" applyFont="1" applyBorder="1" applyAlignment="1">
      <alignment horizontal="right" vertical="center"/>
    </xf>
    <xf numFmtId="4" fontId="21" fillId="0" borderId="52" xfId="0" applyNumberFormat="1" applyFont="1" applyBorder="1" applyAlignment="1">
      <alignment horizontal="right" vertical="center"/>
    </xf>
    <xf numFmtId="4" fontId="21" fillId="0" borderId="18" xfId="0" applyNumberFormat="1" applyFont="1" applyBorder="1" applyAlignment="1">
      <alignment vertical="center"/>
    </xf>
    <xf numFmtId="4" fontId="2" fillId="0" borderId="18" xfId="0" applyNumberFormat="1" applyFont="1" applyBorder="1" applyAlignment="1">
      <alignment horizontal="right" vertical="center"/>
    </xf>
    <xf numFmtId="4" fontId="21" fillId="0" borderId="18" xfId="0" applyNumberFormat="1" applyFont="1" applyBorder="1" applyAlignment="1">
      <alignment horizontal="right" vertical="center"/>
    </xf>
    <xf numFmtId="8" fontId="3" fillId="0" borderId="32" xfId="0" applyNumberFormat="1" applyFont="1" applyBorder="1" applyAlignment="1">
      <alignment horizontal="center" vertical="center" wrapText="1"/>
    </xf>
    <xf numFmtId="8" fontId="3" fillId="0" borderId="32" xfId="0" applyNumberFormat="1" applyFont="1" applyBorder="1" applyAlignment="1">
      <alignment horizontal="right" vertical="center" wrapText="1"/>
    </xf>
    <xf numFmtId="0" fontId="3" fillId="0" borderId="51" xfId="0" applyFont="1" applyBorder="1"/>
    <xf numFmtId="0" fontId="19" fillId="3" borderId="0" xfId="0" applyFont="1" applyFill="1" applyAlignment="1">
      <alignment horizontal="center" vertical="center" wrapText="1"/>
    </xf>
    <xf numFmtId="0" fontId="23" fillId="3" borderId="32" xfId="0" applyFont="1" applyFill="1" applyBorder="1" applyAlignment="1">
      <alignment horizontal="center" vertical="center" wrapText="1"/>
    </xf>
    <xf numFmtId="2" fontId="2" fillId="3" borderId="18" xfId="0" applyNumberFormat="1" applyFont="1" applyFill="1" applyBorder="1" applyAlignment="1">
      <alignment horizontal="right" vertical="center" wrapText="1"/>
    </xf>
    <xf numFmtId="0" fontId="17" fillId="9" borderId="6" xfId="0" applyFont="1" applyFill="1" applyBorder="1" applyAlignment="1">
      <alignment horizontal="left" vertical="center"/>
    </xf>
    <xf numFmtId="0" fontId="17" fillId="9" borderId="6" xfId="0" applyFont="1" applyFill="1" applyBorder="1" applyAlignment="1">
      <alignment horizontal="right" vertical="center"/>
    </xf>
    <xf numFmtId="0" fontId="17" fillId="10" borderId="6" xfId="0" applyFont="1" applyFill="1" applyBorder="1" applyAlignment="1">
      <alignment horizontal="left" vertical="center"/>
    </xf>
    <xf numFmtId="0" fontId="17" fillId="10" borderId="18" xfId="0" applyFont="1" applyFill="1" applyBorder="1" applyAlignment="1">
      <alignment horizontal="left" vertical="center"/>
    </xf>
    <xf numFmtId="0" fontId="17" fillId="10" borderId="10" xfId="0" applyFont="1" applyFill="1" applyBorder="1" applyAlignment="1">
      <alignment horizontal="left" vertical="center"/>
    </xf>
    <xf numFmtId="0" fontId="17" fillId="9" borderId="7" xfId="0" applyFont="1" applyFill="1" applyBorder="1" applyAlignment="1">
      <alignment horizontal="left" vertical="center"/>
    </xf>
    <xf numFmtId="0" fontId="17" fillId="9" borderId="8" xfId="0" applyFont="1" applyFill="1" applyBorder="1" applyAlignment="1">
      <alignment horizontal="right" vertical="center"/>
    </xf>
    <xf numFmtId="0" fontId="17" fillId="9" borderId="9" xfId="0" applyFont="1" applyFill="1" applyBorder="1" applyAlignment="1">
      <alignment horizontal="right" vertical="center"/>
    </xf>
    <xf numFmtId="0" fontId="19" fillId="10" borderId="9" xfId="0" applyFont="1" applyFill="1" applyBorder="1" applyAlignment="1">
      <alignment horizontal="center" vertical="center" wrapText="1"/>
    </xf>
    <xf numFmtId="0" fontId="23" fillId="10" borderId="47" xfId="0" applyFont="1" applyFill="1" applyBorder="1" applyAlignment="1">
      <alignment horizontal="center" vertical="center"/>
    </xf>
    <xf numFmtId="0" fontId="23" fillId="10" borderId="57" xfId="0" applyFont="1" applyFill="1" applyBorder="1" applyAlignment="1">
      <alignment horizontal="center" vertical="center"/>
    </xf>
    <xf numFmtId="0" fontId="23" fillId="10" borderId="68" xfId="0" applyFont="1" applyFill="1" applyBorder="1" applyAlignment="1">
      <alignment horizontal="center" vertical="center" wrapText="1"/>
    </xf>
    <xf numFmtId="0" fontId="7" fillId="10" borderId="4" xfId="0" applyFont="1" applyFill="1" applyBorder="1" applyAlignment="1">
      <alignment vertical="center" wrapText="1"/>
    </xf>
    <xf numFmtId="0" fontId="23" fillId="10" borderId="21" xfId="0" applyFont="1" applyFill="1" applyBorder="1" applyAlignment="1">
      <alignment horizontal="center" vertical="center" wrapText="1"/>
    </xf>
    <xf numFmtId="0" fontId="7" fillId="10" borderId="7" xfId="0" applyFont="1" applyFill="1" applyBorder="1" applyAlignment="1">
      <alignment vertical="center" wrapText="1"/>
    </xf>
    <xf numFmtId="0" fontId="7" fillId="10" borderId="18" xfId="0" applyFont="1" applyFill="1" applyBorder="1" applyAlignment="1">
      <alignment vertical="center" wrapText="1"/>
    </xf>
    <xf numFmtId="0" fontId="7" fillId="10" borderId="10" xfId="0" applyFont="1" applyFill="1" applyBorder="1" applyAlignment="1">
      <alignment vertical="center" wrapText="1"/>
    </xf>
    <xf numFmtId="0" fontId="7" fillId="10" borderId="57" xfId="0" applyFont="1" applyFill="1" applyBorder="1"/>
    <xf numFmtId="0" fontId="23" fillId="10" borderId="18"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7" fillId="10" borderId="6" xfId="0" applyFont="1" applyFill="1" applyBorder="1" applyAlignment="1">
      <alignment horizontal="left" wrapText="1"/>
    </xf>
    <xf numFmtId="0" fontId="7" fillId="10" borderId="6" xfId="0" applyFont="1" applyFill="1" applyBorder="1" applyAlignment="1">
      <alignment wrapText="1"/>
    </xf>
    <xf numFmtId="0" fontId="7" fillId="10" borderId="5" xfId="0" applyFont="1" applyFill="1" applyBorder="1" applyAlignment="1">
      <alignment wrapText="1"/>
    </xf>
    <xf numFmtId="0" fontId="4" fillId="10" borderId="7" xfId="0" applyFont="1" applyFill="1" applyBorder="1" applyAlignment="1">
      <alignment vertical="center" wrapText="1"/>
    </xf>
    <xf numFmtId="0" fontId="4" fillId="10" borderId="10" xfId="0" applyFont="1" applyFill="1" applyBorder="1" applyAlignment="1">
      <alignment vertical="center" wrapText="1"/>
    </xf>
    <xf numFmtId="0" fontId="7" fillId="10" borderId="9" xfId="0" applyFont="1" applyFill="1" applyBorder="1" applyAlignment="1">
      <alignment horizontal="center" vertical="center" wrapText="1"/>
    </xf>
    <xf numFmtId="0" fontId="37" fillId="0" borderId="0" xfId="0" applyFont="1"/>
    <xf numFmtId="0" fontId="17" fillId="9" borderId="27" xfId="0" applyFont="1" applyFill="1" applyBorder="1" applyAlignment="1">
      <alignment horizontal="right" vertical="center"/>
    </xf>
    <xf numFmtId="0" fontId="17" fillId="9" borderId="28" xfId="0" applyFont="1" applyFill="1" applyBorder="1" applyAlignment="1">
      <alignment horizontal="right" vertical="center"/>
    </xf>
    <xf numFmtId="0" fontId="38" fillId="0" borderId="18" xfId="0" applyFont="1" applyBorder="1" applyAlignment="1">
      <alignment wrapText="1"/>
    </xf>
    <xf numFmtId="0" fontId="38" fillId="0" borderId="18" xfId="0" applyFont="1" applyBorder="1"/>
    <xf numFmtId="0" fontId="38" fillId="0" borderId="10" xfId="0" applyFont="1" applyBorder="1" applyAlignment="1">
      <alignment wrapText="1"/>
    </xf>
    <xf numFmtId="0" fontId="38" fillId="0" borderId="9" xfId="0" applyFont="1" applyBorder="1" applyAlignment="1">
      <alignment horizontal="right"/>
    </xf>
    <xf numFmtId="164" fontId="34" fillId="0" borderId="19" xfId="0" applyNumberFormat="1" applyFont="1" applyBorder="1"/>
    <xf numFmtId="0" fontId="38" fillId="0" borderId="18" xfId="0" applyFont="1" applyBorder="1" applyAlignment="1">
      <alignment horizontal="left"/>
    </xf>
    <xf numFmtId="0" fontId="38" fillId="0" borderId="10" xfId="0" applyFont="1" applyBorder="1" applyAlignment="1">
      <alignment horizontal="left" wrapText="1"/>
    </xf>
    <xf numFmtId="164" fontId="38" fillId="0" borderId="12" xfId="0" applyNumberFormat="1" applyFont="1" applyBorder="1"/>
    <xf numFmtId="0" fontId="38" fillId="0" borderId="0" xfId="0" applyFont="1" applyAlignment="1">
      <alignment horizontal="left"/>
    </xf>
    <xf numFmtId="0" fontId="38" fillId="0" borderId="36" xfId="0" applyFont="1" applyBorder="1"/>
    <xf numFmtId="164" fontId="38" fillId="0" borderId="38" xfId="0" applyNumberFormat="1" applyFont="1" applyBorder="1"/>
    <xf numFmtId="0" fontId="38" fillId="0" borderId="0" xfId="0" applyFont="1"/>
    <xf numFmtId="164" fontId="38" fillId="0" borderId="0" xfId="0" applyNumberFormat="1" applyFont="1"/>
    <xf numFmtId="164" fontId="38" fillId="0" borderId="9" xfId="0" applyNumberFormat="1" applyFont="1" applyBorder="1"/>
    <xf numFmtId="0" fontId="34" fillId="0" borderId="18" xfId="0" applyFont="1" applyBorder="1"/>
    <xf numFmtId="0" fontId="38" fillId="0" borderId="18" xfId="0" applyFont="1" applyBorder="1" applyAlignment="1">
      <alignment horizontal="left" wrapText="1"/>
    </xf>
    <xf numFmtId="0" fontId="38" fillId="0" borderId="0" xfId="0" applyFont="1" applyAlignment="1">
      <alignment horizontal="left" wrapText="1"/>
    </xf>
    <xf numFmtId="0" fontId="38" fillId="0" borderId="36" xfId="0" applyFont="1" applyBorder="1" applyAlignment="1">
      <alignment horizontal="left"/>
    </xf>
    <xf numFmtId="164" fontId="34" fillId="3" borderId="0" xfId="0" applyNumberFormat="1" applyFont="1" applyFill="1" applyAlignment="1">
      <alignment horizontal="center"/>
    </xf>
    <xf numFmtId="164" fontId="34" fillId="3" borderId="21" xfId="0" applyNumberFormat="1" applyFont="1" applyFill="1" applyBorder="1" applyAlignment="1">
      <alignment horizontal="center"/>
    </xf>
    <xf numFmtId="164" fontId="34" fillId="0" borderId="55" xfId="0" applyNumberFormat="1" applyFont="1" applyBorder="1"/>
    <xf numFmtId="0" fontId="7" fillId="9" borderId="69" xfId="0" applyFont="1" applyFill="1" applyBorder="1"/>
    <xf numFmtId="0" fontId="42" fillId="9" borderId="69" xfId="0" applyFont="1" applyFill="1" applyBorder="1" applyAlignment="1">
      <alignment vertical="center"/>
    </xf>
    <xf numFmtId="0" fontId="7" fillId="10" borderId="69" xfId="0" applyFont="1" applyFill="1" applyBorder="1"/>
    <xf numFmtId="0" fontId="0" fillId="0" borderId="69" xfId="0" applyBorder="1"/>
    <xf numFmtId="0" fontId="0" fillId="11" borderId="0" xfId="0" applyFill="1"/>
    <xf numFmtId="43" fontId="0" fillId="11" borderId="69" xfId="2" applyFont="1" applyFill="1" applyBorder="1"/>
    <xf numFmtId="0" fontId="0" fillId="11" borderId="69" xfId="0" applyFill="1" applyBorder="1"/>
    <xf numFmtId="169" fontId="0" fillId="0" borderId="69" xfId="2" applyNumberFormat="1" applyFont="1" applyBorder="1"/>
    <xf numFmtId="0" fontId="3" fillId="0" borderId="69" xfId="0" applyFont="1" applyBorder="1"/>
    <xf numFmtId="169" fontId="3" fillId="0" borderId="69" xfId="2" applyNumberFormat="1" applyFont="1" applyBorder="1" applyAlignment="1">
      <alignment horizontal="right"/>
    </xf>
    <xf numFmtId="169" fontId="3" fillId="0" borderId="69" xfId="2" applyNumberFormat="1" applyFont="1" applyBorder="1"/>
    <xf numFmtId="169" fontId="43" fillId="0" borderId="69" xfId="2" applyNumberFormat="1" applyFont="1" applyBorder="1"/>
    <xf numFmtId="0" fontId="42" fillId="9" borderId="43" xfId="0" applyFont="1" applyFill="1" applyBorder="1" applyAlignment="1">
      <alignment vertical="center"/>
    </xf>
    <xf numFmtId="0" fontId="42" fillId="10" borderId="25" xfId="0" applyFont="1" applyFill="1" applyBorder="1" applyAlignment="1">
      <alignment vertical="center"/>
    </xf>
    <xf numFmtId="169" fontId="44" fillId="0" borderId="26" xfId="0" applyNumberFormat="1" applyFont="1" applyBorder="1" applyAlignment="1">
      <alignment horizontal="right" vertical="center"/>
    </xf>
    <xf numFmtId="0" fontId="44" fillId="7" borderId="26" xfId="0" applyFont="1" applyFill="1" applyBorder="1" applyAlignment="1">
      <alignment vertical="center"/>
    </xf>
    <xf numFmtId="169" fontId="45" fillId="0" borderId="26" xfId="3" applyNumberFormat="1" applyFont="1" applyBorder="1" applyAlignment="1">
      <alignment horizontal="right" vertical="center"/>
    </xf>
    <xf numFmtId="169" fontId="46" fillId="0" borderId="26" xfId="0" applyNumberFormat="1" applyFont="1" applyBorder="1" applyAlignment="1">
      <alignment horizontal="right" vertical="center"/>
    </xf>
    <xf numFmtId="169" fontId="41" fillId="0" borderId="26" xfId="0" applyNumberFormat="1" applyFont="1" applyBorder="1" applyAlignment="1">
      <alignment horizontal="right" vertical="center"/>
    </xf>
    <xf numFmtId="0" fontId="42" fillId="10" borderId="25" xfId="0" applyFont="1" applyFill="1" applyBorder="1" applyAlignment="1">
      <alignment vertical="center" wrapText="1"/>
    </xf>
    <xf numFmtId="169" fontId="45" fillId="0" borderId="26" xfId="0" applyNumberFormat="1" applyFont="1" applyBorder="1" applyAlignment="1">
      <alignment horizontal="right" vertical="center"/>
    </xf>
    <xf numFmtId="169" fontId="45" fillId="0" borderId="25" xfId="0" applyNumberFormat="1" applyFont="1" applyBorder="1" applyAlignment="1">
      <alignment horizontal="right" vertical="center"/>
    </xf>
    <xf numFmtId="0" fontId="7" fillId="10" borderId="7"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29" fillId="3" borderId="18" xfId="0" applyFont="1" applyFill="1" applyBorder="1" applyAlignment="1">
      <alignment horizontal="left" vertical="center"/>
    </xf>
    <xf numFmtId="0" fontId="29" fillId="3" borderId="6" xfId="0" applyFont="1" applyFill="1" applyBorder="1" applyAlignment="1">
      <alignment horizontal="left" vertical="center"/>
    </xf>
    <xf numFmtId="4" fontId="44" fillId="0" borderId="26" xfId="0" applyNumberFormat="1" applyFont="1" applyBorder="1" applyAlignment="1">
      <alignment horizontal="right" vertical="center"/>
    </xf>
    <xf numFmtId="0" fontId="47" fillId="0" borderId="0" xfId="0" applyFont="1" applyAlignment="1">
      <alignment horizontal="left" vertical="center"/>
    </xf>
    <xf numFmtId="4" fontId="48" fillId="0" borderId="0" xfId="0" applyNumberFormat="1" applyFont="1"/>
    <xf numFmtId="4" fontId="1" fillId="0" borderId="0" xfId="0" applyNumberFormat="1" applyFont="1"/>
    <xf numFmtId="4" fontId="1" fillId="0" borderId="0" xfId="0" applyNumberFormat="1" applyFont="1" applyAlignment="1">
      <alignment horizontal="right"/>
    </xf>
    <xf numFmtId="4" fontId="0" fillId="0" borderId="0" xfId="0" applyNumberFormat="1"/>
    <xf numFmtId="4" fontId="1" fillId="2" borderId="1" xfId="0" applyNumberFormat="1" applyFont="1" applyFill="1" applyBorder="1" applyAlignment="1">
      <alignment horizontal="left"/>
    </xf>
    <xf numFmtId="4" fontId="1" fillId="2" borderId="0" xfId="0" applyNumberFormat="1" applyFont="1" applyFill="1" applyAlignment="1">
      <alignment horizontal="center"/>
    </xf>
    <xf numFmtId="4" fontId="1" fillId="2" borderId="35" xfId="0" applyNumberFormat="1" applyFont="1" applyFill="1" applyBorder="1" applyAlignment="1">
      <alignment horizontal="center"/>
    </xf>
    <xf numFmtId="0" fontId="25" fillId="3" borderId="7"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9" xfId="0" applyFont="1" applyFill="1" applyBorder="1" applyAlignment="1">
      <alignment horizontal="center" vertical="center"/>
    </xf>
    <xf numFmtId="4" fontId="1" fillId="2" borderId="2" xfId="0" applyNumberFormat="1" applyFont="1" applyFill="1" applyBorder="1" applyAlignment="1">
      <alignment horizontal="left"/>
    </xf>
    <xf numFmtId="0" fontId="1" fillId="3" borderId="18" xfId="0" applyFont="1" applyFill="1" applyBorder="1" applyAlignment="1">
      <alignment vertical="center"/>
    </xf>
    <xf numFmtId="0" fontId="1" fillId="3" borderId="6" xfId="0" applyFont="1" applyFill="1" applyBorder="1" applyAlignment="1">
      <alignment vertical="center"/>
    </xf>
    <xf numFmtId="8" fontId="1" fillId="3" borderId="6" xfId="0" applyNumberFormat="1" applyFont="1" applyFill="1" applyBorder="1" applyAlignment="1">
      <alignment vertical="center"/>
    </xf>
    <xf numFmtId="8" fontId="1" fillId="3" borderId="19" xfId="0" applyNumberFormat="1" applyFont="1" applyFill="1" applyBorder="1" applyAlignment="1">
      <alignment vertical="center"/>
    </xf>
    <xf numFmtId="4" fontId="1" fillId="2" borderId="3" xfId="0" applyNumberFormat="1" applyFont="1" applyFill="1" applyBorder="1" applyAlignment="1">
      <alignment horizontal="center"/>
    </xf>
    <xf numFmtId="3" fontId="1" fillId="2" borderId="29" xfId="0" applyNumberFormat="1" applyFont="1" applyFill="1" applyBorder="1" applyAlignment="1">
      <alignment horizontal="center"/>
    </xf>
    <xf numFmtId="3" fontId="1" fillId="2" borderId="29" xfId="0" applyNumberFormat="1" applyFont="1" applyFill="1" applyBorder="1" applyAlignment="1">
      <alignment horizontal="right"/>
    </xf>
    <xf numFmtId="3" fontId="1" fillId="2" borderId="0" xfId="0" applyNumberFormat="1" applyFont="1" applyFill="1" applyAlignment="1">
      <alignment horizontal="right"/>
    </xf>
    <xf numFmtId="4" fontId="1" fillId="2" borderId="2" xfId="0" applyNumberFormat="1" applyFont="1" applyFill="1" applyBorder="1" applyAlignment="1">
      <alignment horizontal="center"/>
    </xf>
    <xf numFmtId="0" fontId="3" fillId="8" borderId="6" xfId="0" applyFont="1" applyFill="1" applyBorder="1" applyAlignment="1">
      <alignment horizontal="center" vertical="center" wrapText="1"/>
    </xf>
    <xf numFmtId="0" fontId="3" fillId="8" borderId="6" xfId="0" applyFont="1" applyFill="1" applyBorder="1" applyAlignment="1">
      <alignment vertical="center" wrapText="1"/>
    </xf>
    <xf numFmtId="3" fontId="1" fillId="2" borderId="4" xfId="0" applyNumberFormat="1" applyFont="1" applyFill="1" applyBorder="1"/>
    <xf numFmtId="37" fontId="49" fillId="0" borderId="20" xfId="0" applyNumberFormat="1" applyFont="1" applyBorder="1"/>
    <xf numFmtId="37" fontId="49" fillId="0" borderId="0" xfId="0" applyNumberFormat="1" applyFont="1"/>
    <xf numFmtId="37" fontId="49" fillId="0" borderId="21" xfId="0" applyNumberFormat="1" applyFont="1" applyBorder="1"/>
    <xf numFmtId="3" fontId="1" fillId="6" borderId="6" xfId="0" applyNumberFormat="1" applyFont="1" applyFill="1" applyBorder="1"/>
    <xf numFmtId="3" fontId="1" fillId="2" borderId="6" xfId="0" applyNumberFormat="1" applyFont="1" applyFill="1" applyBorder="1"/>
    <xf numFmtId="39" fontId="49" fillId="0" borderId="20" xfId="0" applyNumberFormat="1" applyFont="1" applyBorder="1"/>
    <xf numFmtId="39" fontId="49" fillId="0" borderId="0" xfId="0" applyNumberFormat="1" applyFont="1"/>
    <xf numFmtId="4" fontId="1" fillId="6" borderId="6" xfId="0" applyNumberFormat="1" applyFont="1" applyFill="1" applyBorder="1"/>
    <xf numFmtId="37" fontId="50" fillId="0" borderId="20" xfId="0" applyNumberFormat="1" applyFont="1" applyBorder="1"/>
    <xf numFmtId="37" fontId="50" fillId="0" borderId="0" xfId="0" applyNumberFormat="1" applyFont="1"/>
    <xf numFmtId="37" fontId="50" fillId="0" borderId="21" xfId="0" applyNumberFormat="1" applyFont="1" applyBorder="1"/>
    <xf numFmtId="167" fontId="1" fillId="0" borderId="20" xfId="0" applyNumberFormat="1" applyFont="1" applyBorder="1"/>
    <xf numFmtId="4" fontId="0" fillId="0" borderId="67" xfId="0" applyNumberFormat="1" applyBorder="1" applyAlignment="1">
      <alignment horizontal="right" vertical="center"/>
    </xf>
    <xf numFmtId="39" fontId="1" fillId="0" borderId="6" xfId="0" applyNumberFormat="1" applyFont="1" applyBorder="1"/>
    <xf numFmtId="39" fontId="1" fillId="0" borderId="0" xfId="0" applyNumberFormat="1" applyFont="1"/>
    <xf numFmtId="37" fontId="1" fillId="0" borderId="0" xfId="0" applyNumberFormat="1" applyFont="1"/>
    <xf numFmtId="37" fontId="1" fillId="0" borderId="18" xfId="0" applyNumberFormat="1" applyFont="1" applyBorder="1"/>
    <xf numFmtId="37" fontId="1" fillId="0" borderId="6" xfId="0" applyNumberFormat="1" applyFont="1" applyBorder="1"/>
    <xf numFmtId="164" fontId="1" fillId="0" borderId="6" xfId="0" applyNumberFormat="1" applyFont="1" applyBorder="1"/>
    <xf numFmtId="167" fontId="1" fillId="0" borderId="0" xfId="0" applyNumberFormat="1" applyFont="1"/>
    <xf numFmtId="4" fontId="0" fillId="0" borderId="18" xfId="0" applyNumberFormat="1" applyBorder="1" applyAlignment="1">
      <alignment horizontal="right" vertical="center"/>
    </xf>
    <xf numFmtId="37" fontId="1" fillId="0" borderId="10" xfId="0" applyNumberFormat="1" applyFont="1" applyBorder="1" applyAlignment="1">
      <alignment wrapText="1"/>
    </xf>
    <xf numFmtId="37" fontId="1" fillId="0" borderId="11" xfId="0" applyNumberFormat="1" applyFont="1" applyBorder="1"/>
    <xf numFmtId="164" fontId="1" fillId="0" borderId="11" xfId="0" applyNumberFormat="1" applyFont="1" applyBorder="1"/>
    <xf numFmtId="8" fontId="1" fillId="3" borderId="12" xfId="0" applyNumberFormat="1" applyFont="1" applyFill="1" applyBorder="1" applyAlignment="1">
      <alignment vertical="center"/>
    </xf>
    <xf numFmtId="3" fontId="1" fillId="2" borderId="5" xfId="0" applyNumberFormat="1" applyFont="1" applyFill="1" applyBorder="1"/>
    <xf numFmtId="4" fontId="0" fillId="0" borderId="51" xfId="0" applyNumberFormat="1" applyBorder="1" applyAlignment="1">
      <alignment horizontal="right" vertical="center"/>
    </xf>
    <xf numFmtId="4" fontId="0" fillId="3" borderId="0" xfId="0" applyNumberFormat="1" applyFill="1"/>
    <xf numFmtId="4" fontId="0" fillId="0" borderId="58" xfId="0" applyNumberFormat="1" applyBorder="1" applyAlignment="1">
      <alignment horizontal="right" vertical="center"/>
    </xf>
    <xf numFmtId="4" fontId="1" fillId="2" borderId="5" xfId="0" quotePrefix="1" applyNumberFormat="1" applyFont="1" applyFill="1" applyBorder="1" applyAlignment="1">
      <alignment horizontal="right"/>
    </xf>
    <xf numFmtId="3" fontId="1" fillId="2" borderId="6" xfId="0" quotePrefix="1" applyNumberFormat="1" applyFont="1" applyFill="1" applyBorder="1" applyAlignment="1">
      <alignment horizontal="right"/>
    </xf>
    <xf numFmtId="4" fontId="1" fillId="2" borderId="6" xfId="0" quotePrefix="1" applyNumberFormat="1" applyFont="1" applyFill="1" applyBorder="1" applyAlignment="1">
      <alignment horizontal="right"/>
    </xf>
    <xf numFmtId="4" fontId="0" fillId="4" borderId="0" xfId="0" applyNumberFormat="1" applyFill="1"/>
    <xf numFmtId="0" fontId="0" fillId="4" borderId="0" xfId="0" applyFill="1"/>
    <xf numFmtId="0" fontId="0" fillId="0" borderId="0" xfId="0" applyAlignment="1">
      <alignment horizontal="right"/>
    </xf>
    <xf numFmtId="164" fontId="0" fillId="0" borderId="0" xfId="0" applyNumberFormat="1"/>
    <xf numFmtId="0" fontId="38" fillId="0" borderId="67" xfId="0" applyFont="1" applyBorder="1" applyAlignment="1">
      <alignment wrapText="1"/>
    </xf>
    <xf numFmtId="37" fontId="0" fillId="0" borderId="6" xfId="0" applyNumberFormat="1" applyBorder="1"/>
    <xf numFmtId="0" fontId="0" fillId="0" borderId="0" xfId="0" applyAlignment="1">
      <alignment horizontal="center" vertical="center"/>
    </xf>
    <xf numFmtId="0" fontId="0" fillId="0" borderId="0" xfId="0" applyAlignment="1">
      <alignment horizontal="center"/>
    </xf>
    <xf numFmtId="39" fontId="0" fillId="0" borderId="19" xfId="0" applyNumberFormat="1" applyBorder="1" applyAlignment="1">
      <alignment horizontal="right"/>
    </xf>
    <xf numFmtId="39" fontId="0" fillId="0" borderId="12" xfId="0" applyNumberFormat="1" applyBorder="1" applyAlignment="1">
      <alignment horizontal="right"/>
    </xf>
    <xf numFmtId="37" fontId="0" fillId="0" borderId="19" xfId="0" applyNumberFormat="1" applyBorder="1"/>
    <xf numFmtId="37" fontId="0" fillId="0" borderId="12" xfId="0" applyNumberFormat="1" applyBorder="1"/>
    <xf numFmtId="0" fontId="0" fillId="5" borderId="0" xfId="0" applyFill="1" applyAlignment="1">
      <alignment vertical="center" wrapText="1"/>
    </xf>
    <xf numFmtId="0" fontId="0" fillId="10" borderId="0" xfId="0" applyFill="1"/>
    <xf numFmtId="4" fontId="0" fillId="0" borderId="23" xfId="0" applyNumberFormat="1" applyBorder="1"/>
    <xf numFmtId="4" fontId="0" fillId="0" borderId="22" xfId="0" applyNumberFormat="1" applyBorder="1" applyAlignment="1">
      <alignment horizontal="right" vertical="center"/>
    </xf>
    <xf numFmtId="4" fontId="0" fillId="0" borderId="24" xfId="0" applyNumberFormat="1" applyBorder="1" applyAlignment="1">
      <alignment horizontal="right" vertical="center"/>
    </xf>
    <xf numFmtId="4" fontId="0" fillId="0" borderId="23" xfId="0" applyNumberFormat="1" applyBorder="1" applyAlignment="1">
      <alignment horizontal="right" vertical="center"/>
    </xf>
    <xf numFmtId="0" fontId="0" fillId="0" borderId="23" xfId="0" applyBorder="1"/>
    <xf numFmtId="4" fontId="0" fillId="0" borderId="63" xfId="0" applyNumberFormat="1" applyBorder="1" applyAlignment="1">
      <alignment horizontal="right" vertical="center"/>
    </xf>
    <xf numFmtId="4" fontId="0" fillId="0" borderId="27" xfId="0" applyNumberFormat="1" applyBorder="1" applyAlignment="1">
      <alignment horizontal="right" vertical="center"/>
    </xf>
    <xf numFmtId="4" fontId="0" fillId="0" borderId="28" xfId="0" applyNumberFormat="1" applyBorder="1" applyAlignment="1">
      <alignment horizontal="right" vertical="center"/>
    </xf>
    <xf numFmtId="4" fontId="0" fillId="0" borderId="32" xfId="0" applyNumberFormat="1" applyBorder="1" applyAlignment="1">
      <alignment horizontal="right" vertical="center"/>
    </xf>
    <xf numFmtId="0" fontId="0" fillId="0" borderId="32" xfId="0" applyBorder="1"/>
    <xf numFmtId="4" fontId="0" fillId="0" borderId="52" xfId="0" applyNumberFormat="1" applyBorder="1" applyAlignment="1">
      <alignment horizontal="right" vertical="center"/>
    </xf>
    <xf numFmtId="4" fontId="0" fillId="0" borderId="53" xfId="0" applyNumberFormat="1" applyBorder="1"/>
    <xf numFmtId="4" fontId="0" fillId="0" borderId="62" xfId="0" applyNumberFormat="1" applyBorder="1" applyAlignment="1">
      <alignment horizontal="right" vertical="center"/>
    </xf>
    <xf numFmtId="4" fontId="0" fillId="0" borderId="59" xfId="0" applyNumberFormat="1" applyBorder="1" applyAlignment="1">
      <alignment horizontal="right" vertical="center"/>
    </xf>
    <xf numFmtId="4" fontId="0" fillId="0" borderId="53" xfId="0" applyNumberFormat="1" applyBorder="1" applyAlignment="1">
      <alignment horizontal="right" vertical="center"/>
    </xf>
    <xf numFmtId="0" fontId="0" fillId="0" borderId="62" xfId="0" applyBorder="1"/>
    <xf numFmtId="4" fontId="0" fillId="0" borderId="26" xfId="0" applyNumberFormat="1" applyBorder="1" applyAlignment="1">
      <alignment horizontal="right" vertical="center"/>
    </xf>
    <xf numFmtId="0" fontId="0" fillId="0" borderId="30" xfId="0" applyBorder="1"/>
    <xf numFmtId="0" fontId="0" fillId="0" borderId="31" xfId="0" applyBorder="1"/>
    <xf numFmtId="0" fontId="0" fillId="0" borderId="13" xfId="0" applyBorder="1" applyAlignment="1">
      <alignment vertical="center"/>
    </xf>
    <xf numFmtId="0" fontId="0" fillId="0" borderId="14" xfId="0" applyBorder="1"/>
    <xf numFmtId="0" fontId="0" fillId="0" borderId="0" xfId="0" applyAlignment="1">
      <alignment vertical="center"/>
    </xf>
    <xf numFmtId="0" fontId="0" fillId="0" borderId="53" xfId="0" applyBorder="1" applyAlignment="1">
      <alignment vertical="center"/>
    </xf>
    <xf numFmtId="0" fontId="1" fillId="0" borderId="0" xfId="0" applyFont="1" applyAlignment="1">
      <alignment vertical="center"/>
    </xf>
    <xf numFmtId="0" fontId="0" fillId="0" borderId="32" xfId="0" applyBorder="1" applyAlignment="1">
      <alignment vertical="center" wrapText="1"/>
    </xf>
    <xf numFmtId="0" fontId="0" fillId="0" borderId="32" xfId="0" applyBorder="1" applyAlignment="1">
      <alignment horizontal="center" vertical="center" wrapText="1"/>
    </xf>
    <xf numFmtId="0" fontId="0" fillId="0" borderId="32" xfId="0" applyBorder="1" applyAlignment="1">
      <alignment horizontal="center" vertical="center"/>
    </xf>
    <xf numFmtId="8" fontId="0" fillId="0" borderId="32" xfId="0" applyNumberFormat="1" applyBorder="1" applyAlignment="1">
      <alignment horizontal="center" vertical="center" wrapText="1"/>
    </xf>
    <xf numFmtId="0" fontId="0" fillId="0" borderId="32" xfId="0" applyBorder="1" applyAlignment="1">
      <alignment horizontal="left" vertical="center" wrapText="1"/>
    </xf>
    <xf numFmtId="164" fontId="0" fillId="0" borderId="32" xfId="0" applyNumberFormat="1" applyBorder="1" applyAlignment="1">
      <alignment horizontal="right" vertical="center" wrapText="1"/>
    </xf>
    <xf numFmtId="0" fontId="0" fillId="0" borderId="32" xfId="0" applyBorder="1" applyAlignment="1">
      <alignment horizontal="left"/>
    </xf>
    <xf numFmtId="8" fontId="0" fillId="0" borderId="32" xfId="0" applyNumberFormat="1" applyBorder="1" applyAlignment="1">
      <alignment horizontal="right" vertical="center" wrapText="1"/>
    </xf>
    <xf numFmtId="8" fontId="0" fillId="0" borderId="52" xfId="0" applyNumberFormat="1" applyBorder="1" applyAlignment="1">
      <alignment horizontal="right" vertical="center" wrapText="1"/>
    </xf>
    <xf numFmtId="164" fontId="0" fillId="0" borderId="32" xfId="0" applyNumberFormat="1" applyBorder="1" applyAlignment="1">
      <alignment vertical="center" wrapText="1"/>
    </xf>
    <xf numFmtId="0" fontId="0" fillId="0" borderId="32" xfId="0" applyBorder="1" applyAlignment="1">
      <alignment vertical="center"/>
    </xf>
    <xf numFmtId="8" fontId="0" fillId="0" borderId="63" xfId="0" applyNumberFormat="1" applyBorder="1" applyAlignment="1">
      <alignment horizontal="right" vertical="center" wrapText="1"/>
    </xf>
    <xf numFmtId="0" fontId="0" fillId="0" borderId="53" xfId="0" applyBorder="1"/>
    <xf numFmtId="0" fontId="0" fillId="0" borderId="0" xfId="0" applyAlignment="1">
      <alignment vertical="center" wrapText="1"/>
    </xf>
    <xf numFmtId="4" fontId="0" fillId="3" borderId="47" xfId="0" applyNumberFormat="1" applyFill="1" applyBorder="1" applyAlignment="1">
      <alignment horizontal="center" vertical="center"/>
    </xf>
    <xf numFmtId="4" fontId="0" fillId="0" borderId="47" xfId="0" applyNumberFormat="1" applyBorder="1" applyAlignment="1">
      <alignment horizontal="center" vertical="center"/>
    </xf>
    <xf numFmtId="0" fontId="0" fillId="0" borderId="47" xfId="0" applyBorder="1" applyAlignment="1">
      <alignment horizontal="center" vertical="center"/>
    </xf>
    <xf numFmtId="3" fontId="0" fillId="0" borderId="47" xfId="0" applyNumberFormat="1" applyBorder="1" applyAlignment="1">
      <alignment horizontal="center" vertical="center"/>
    </xf>
    <xf numFmtId="164" fontId="0" fillId="0" borderId="57" xfId="0" applyNumberFormat="1" applyBorder="1" applyAlignment="1">
      <alignment horizontal="right" vertical="center" wrapText="1"/>
    </xf>
    <xf numFmtId="166" fontId="0" fillId="0" borderId="32" xfId="0" applyNumberFormat="1" applyBorder="1" applyAlignment="1">
      <alignment horizontal="center" vertical="center"/>
    </xf>
    <xf numFmtId="4" fontId="0" fillId="0" borderId="32" xfId="0" applyNumberFormat="1" applyBorder="1" applyAlignment="1">
      <alignment horizontal="center" vertical="center"/>
    </xf>
    <xf numFmtId="164" fontId="0" fillId="0" borderId="52" xfId="0" applyNumberFormat="1" applyBorder="1" applyAlignment="1">
      <alignment horizontal="right" vertical="center" wrapText="1"/>
    </xf>
    <xf numFmtId="0" fontId="0" fillId="0" borderId="53" xfId="0" applyBorder="1" applyAlignment="1">
      <alignment horizontal="center" vertical="center" wrapText="1"/>
    </xf>
    <xf numFmtId="0" fontId="0" fillId="0" borderId="0" xfId="0" applyAlignment="1">
      <alignment horizontal="center" vertical="center" wrapText="1"/>
    </xf>
    <xf numFmtId="0" fontId="26" fillId="0" borderId="0" xfId="0" applyFont="1" applyAlignment="1">
      <alignment horizontal="center" vertical="center"/>
    </xf>
    <xf numFmtId="0" fontId="26" fillId="0" borderId="0" xfId="0" applyFont="1" applyAlignment="1">
      <alignment vertical="center"/>
    </xf>
    <xf numFmtId="0" fontId="26" fillId="0" borderId="0" xfId="0" applyFont="1" applyAlignment="1">
      <alignment horizontal="left"/>
    </xf>
    <xf numFmtId="0" fontId="10" fillId="0" borderId="0" xfId="0" applyFont="1" applyAlignment="1">
      <alignment vertical="center"/>
    </xf>
    <xf numFmtId="4" fontId="0" fillId="0" borderId="18" xfId="0" applyNumberFormat="1" applyBorder="1" applyAlignment="1">
      <alignment vertical="center"/>
    </xf>
    <xf numFmtId="0" fontId="0" fillId="0" borderId="0" xfId="0" applyAlignment="1">
      <alignment horizontal="left" vertical="center" indent="5"/>
    </xf>
    <xf numFmtId="0" fontId="0" fillId="0" borderId="51" xfId="0" applyBorder="1" applyAlignment="1">
      <alignment horizontal="left"/>
    </xf>
    <xf numFmtId="164" fontId="0" fillId="0" borderId="52" xfId="0" applyNumberFormat="1" applyBorder="1"/>
    <xf numFmtId="164" fontId="0" fillId="0" borderId="32" xfId="0" applyNumberFormat="1" applyBorder="1"/>
    <xf numFmtId="0" fontId="0" fillId="0" borderId="0" xfId="0" applyAlignment="1">
      <alignment horizontal="left"/>
    </xf>
    <xf numFmtId="0" fontId="0" fillId="0" borderId="47" xfId="0" applyBorder="1"/>
    <xf numFmtId="4" fontId="0" fillId="0" borderId="47" xfId="0" applyNumberFormat="1" applyBorder="1"/>
    <xf numFmtId="0" fontId="0" fillId="0" borderId="47" xfId="0" applyBorder="1" applyAlignment="1">
      <alignment horizontal="center"/>
    </xf>
    <xf numFmtId="164" fontId="0" fillId="0" borderId="57" xfId="0" applyNumberFormat="1" applyBorder="1"/>
    <xf numFmtId="4" fontId="0" fillId="0" borderId="32" xfId="0" applyNumberFormat="1" applyBorder="1"/>
    <xf numFmtId="0" fontId="0" fillId="0" borderId="32" xfId="0" applyBorder="1" applyAlignment="1">
      <alignment horizontal="center"/>
    </xf>
    <xf numFmtId="0" fontId="21" fillId="0" borderId="0" xfId="0" applyFont="1" applyAlignment="1">
      <alignment vertical="center" wrapText="1"/>
    </xf>
    <xf numFmtId="8" fontId="0" fillId="0" borderId="0" xfId="0" applyNumberFormat="1" applyAlignment="1">
      <alignment horizontal="right" vertical="center" wrapText="1"/>
    </xf>
    <xf numFmtId="0" fontId="21" fillId="0" borderId="0" xfId="0" applyFont="1" applyAlignment="1">
      <alignment horizontal="center" vertical="center" wrapText="1"/>
    </xf>
    <xf numFmtId="8" fontId="21" fillId="0" borderId="0" xfId="0" applyNumberFormat="1" applyFont="1" applyAlignment="1">
      <alignment horizontal="right" vertical="center" wrapText="1"/>
    </xf>
    <xf numFmtId="0" fontId="59" fillId="0" borderId="0" xfId="0" applyFont="1" applyAlignment="1">
      <alignment vertical="center" wrapText="1"/>
    </xf>
    <xf numFmtId="8" fontId="59" fillId="0" borderId="0" xfId="0" applyNumberFormat="1" applyFont="1" applyAlignment="1">
      <alignment horizontal="right" vertical="center" wrapText="1"/>
    </xf>
    <xf numFmtId="0" fontId="0" fillId="0" borderId="20" xfId="0" applyBorder="1" applyAlignment="1">
      <alignment horizontal="right"/>
    </xf>
    <xf numFmtId="164" fontId="0" fillId="0" borderId="14" xfId="0" applyNumberFormat="1" applyBorder="1" applyAlignment="1">
      <alignment horizontal="right"/>
    </xf>
    <xf numFmtId="8" fontId="0" fillId="0" borderId="15" xfId="0" applyNumberFormat="1" applyBorder="1" applyAlignment="1">
      <alignment horizontal="right" vertical="center" wrapText="1"/>
    </xf>
    <xf numFmtId="8" fontId="0" fillId="0" borderId="60" xfId="0" applyNumberFormat="1" applyBorder="1" applyAlignment="1">
      <alignment horizontal="right" vertical="center" wrapText="1"/>
    </xf>
    <xf numFmtId="0" fontId="0" fillId="0" borderId="15" xfId="0" applyBorder="1"/>
    <xf numFmtId="8" fontId="0" fillId="0" borderId="60" xfId="0" applyNumberFormat="1" applyBorder="1" applyAlignment="1">
      <alignment vertical="center" wrapText="1"/>
    </xf>
    <xf numFmtId="0" fontId="0" fillId="0" borderId="26" xfId="0" applyBorder="1" applyAlignment="1">
      <alignment horizontal="right" vertical="center" wrapText="1"/>
    </xf>
    <xf numFmtId="4" fontId="0" fillId="0" borderId="8" xfId="0" applyNumberFormat="1" applyBorder="1"/>
    <xf numFmtId="0" fontId="0" fillId="0" borderId="9" xfId="0" applyBorder="1" applyAlignment="1">
      <alignment horizontal="right" vertical="center" wrapText="1"/>
    </xf>
    <xf numFmtId="4" fontId="0" fillId="0" borderId="11" xfId="0" applyNumberFormat="1" applyBorder="1"/>
    <xf numFmtId="0" fontId="0" fillId="0" borderId="12" xfId="0" applyBorder="1" applyAlignment="1">
      <alignment horizontal="right" vertical="center" wrapText="1"/>
    </xf>
    <xf numFmtId="0" fontId="0" fillId="0" borderId="6" xfId="0" applyBorder="1"/>
    <xf numFmtId="0" fontId="0" fillId="0" borderId="11" xfId="0" applyBorder="1"/>
    <xf numFmtId="0" fontId="54" fillId="0" borderId="6" xfId="0" applyFont="1" applyBorder="1" applyAlignment="1">
      <alignment wrapText="1"/>
    </xf>
    <xf numFmtId="0" fontId="28" fillId="12" borderId="18" xfId="0" applyFont="1" applyFill="1" applyBorder="1" applyAlignment="1">
      <alignment horizontal="left" vertical="center"/>
    </xf>
    <xf numFmtId="0" fontId="28" fillId="12" borderId="10" xfId="0" applyFont="1" applyFill="1" applyBorder="1" applyAlignment="1">
      <alignment horizontal="left" vertical="center"/>
    </xf>
    <xf numFmtId="2" fontId="4" fillId="12" borderId="6" xfId="0" applyNumberFormat="1" applyFont="1" applyFill="1" applyBorder="1" applyProtection="1">
      <protection locked="0" hidden="1"/>
    </xf>
    <xf numFmtId="0" fontId="54" fillId="0" borderId="7" xfId="0" applyFont="1" applyBorder="1" applyAlignment="1">
      <alignment horizontal="left"/>
    </xf>
    <xf numFmtId="0" fontId="34" fillId="0" borderId="0" xfId="0" applyFont="1"/>
    <xf numFmtId="0" fontId="4" fillId="12" borderId="6" xfId="0" applyFont="1" applyFill="1" applyBorder="1" applyProtection="1">
      <protection locked="0"/>
    </xf>
    <xf numFmtId="2" fontId="4" fillId="12" borderId="6" xfId="0" applyNumberFormat="1" applyFont="1" applyFill="1" applyBorder="1" applyProtection="1">
      <protection locked="0"/>
    </xf>
    <xf numFmtId="0" fontId="54" fillId="0" borderId="7" xfId="0" applyFont="1" applyBorder="1" applyAlignment="1">
      <alignment wrapText="1"/>
    </xf>
    <xf numFmtId="0" fontId="9" fillId="0" borderId="0" xfId="0" applyFont="1" applyAlignment="1">
      <alignment horizontal="left" wrapText="1"/>
    </xf>
    <xf numFmtId="0" fontId="60" fillId="0" borderId="18" xfId="0" applyFont="1" applyBorder="1" applyAlignment="1">
      <alignment wrapText="1"/>
    </xf>
    <xf numFmtId="0" fontId="56" fillId="0" borderId="9" xfId="0" applyFont="1" applyBorder="1" applyAlignment="1">
      <alignment horizontal="right"/>
    </xf>
    <xf numFmtId="164" fontId="57" fillId="0" borderId="19" xfId="0" applyNumberFormat="1" applyFont="1" applyBorder="1"/>
    <xf numFmtId="164" fontId="57" fillId="0" borderId="19" xfId="0" applyNumberFormat="1" applyFont="1" applyBorder="1" applyAlignment="1">
      <alignment horizontal="right"/>
    </xf>
    <xf numFmtId="0" fontId="38" fillId="0" borderId="53" xfId="0" applyFont="1" applyBorder="1" applyAlignment="1">
      <alignment horizontal="left" wrapText="1"/>
    </xf>
    <xf numFmtId="164" fontId="38" fillId="0" borderId="53" xfId="0" applyNumberFormat="1" applyFont="1" applyBorder="1"/>
    <xf numFmtId="164" fontId="38" fillId="0" borderId="26" xfId="0" applyNumberFormat="1" applyFont="1" applyBorder="1"/>
    <xf numFmtId="164" fontId="38" fillId="3" borderId="9" xfId="0" applyNumberFormat="1" applyFont="1" applyFill="1" applyBorder="1"/>
    <xf numFmtId="164" fontId="38" fillId="3" borderId="12" xfId="0" applyNumberFormat="1" applyFont="1" applyFill="1" applyBorder="1"/>
    <xf numFmtId="0" fontId="12" fillId="0" borderId="0" xfId="0" applyFont="1"/>
    <xf numFmtId="165" fontId="7" fillId="0" borderId="0" xfId="0" applyNumberFormat="1" applyFont="1" applyAlignment="1">
      <alignment horizontal="center"/>
    </xf>
    <xf numFmtId="0" fontId="0" fillId="0" borderId="22" xfId="0" applyBorder="1" applyAlignment="1">
      <alignment horizontal="right" vertical="center" wrapText="1"/>
    </xf>
    <xf numFmtId="37" fontId="63" fillId="0" borderId="20" xfId="0" applyNumberFormat="1" applyFont="1" applyBorder="1"/>
    <xf numFmtId="37" fontId="63" fillId="0" borderId="0" xfId="0" applyNumberFormat="1" applyFont="1"/>
    <xf numFmtId="37" fontId="63" fillId="0" borderId="21" xfId="0" applyNumberFormat="1" applyFont="1" applyBorder="1"/>
    <xf numFmtId="37" fontId="63" fillId="0" borderId="22" xfId="0" applyNumberFormat="1" applyFont="1" applyBorder="1"/>
    <xf numFmtId="37" fontId="63" fillId="0" borderId="23" xfId="0" applyNumberFormat="1" applyFont="1" applyBorder="1"/>
    <xf numFmtId="37" fontId="63" fillId="0" borderId="24" xfId="0" applyNumberFormat="1" applyFont="1" applyBorder="1"/>
    <xf numFmtId="39" fontId="63" fillId="0" borderId="20" xfId="0" applyNumberFormat="1" applyFont="1" applyBorder="1"/>
    <xf numFmtId="39" fontId="63" fillId="0" borderId="0" xfId="0" applyNumberFormat="1" applyFont="1"/>
    <xf numFmtId="39" fontId="63" fillId="0" borderId="22" xfId="0" applyNumberFormat="1" applyFont="1" applyBorder="1"/>
    <xf numFmtId="39" fontId="63" fillId="0" borderId="23" xfId="0" applyNumberFormat="1" applyFont="1" applyBorder="1"/>
    <xf numFmtId="37" fontId="64" fillId="0" borderId="20" xfId="0" applyNumberFormat="1" applyFont="1" applyBorder="1"/>
    <xf numFmtId="37" fontId="64" fillId="0" borderId="0" xfId="0" applyNumberFormat="1" applyFont="1"/>
    <xf numFmtId="37" fontId="64" fillId="0" borderId="21" xfId="0" applyNumberFormat="1" applyFont="1" applyBorder="1"/>
    <xf numFmtId="37" fontId="64" fillId="0" borderId="22" xfId="0" applyNumberFormat="1" applyFont="1" applyBorder="1"/>
    <xf numFmtId="37" fontId="64" fillId="0" borderId="23" xfId="0" applyNumberFormat="1" applyFont="1" applyBorder="1"/>
    <xf numFmtId="37" fontId="64" fillId="0" borderId="24" xfId="0" applyNumberFormat="1" applyFont="1" applyBorder="1"/>
    <xf numFmtId="164" fontId="0" fillId="0" borderId="63" xfId="0" applyNumberFormat="1" applyBorder="1" applyAlignment="1">
      <alignment horizontal="right" vertical="center" wrapText="1"/>
    </xf>
    <xf numFmtId="0" fontId="54" fillId="0" borderId="27" xfId="0" applyFont="1" applyBorder="1" applyAlignment="1">
      <alignment horizontal="left" vertical="center" wrapText="1"/>
    </xf>
    <xf numFmtId="0" fontId="54" fillId="0" borderId="32" xfId="0" applyFont="1" applyBorder="1" applyAlignment="1">
      <alignment horizontal="left" vertical="center" wrapText="1"/>
    </xf>
    <xf numFmtId="0" fontId="54" fillId="0" borderId="28" xfId="0" applyFont="1" applyBorder="1" applyAlignment="1">
      <alignment horizontal="left" vertical="center" wrapText="1"/>
    </xf>
    <xf numFmtId="0" fontId="4" fillId="12" borderId="22" xfId="0" applyFont="1" applyFill="1" applyBorder="1" applyProtection="1">
      <protection locked="0" hidden="1"/>
    </xf>
    <xf numFmtId="0" fontId="4" fillId="12" borderId="23" xfId="0" applyFont="1" applyFill="1" applyBorder="1" applyProtection="1">
      <protection locked="0" hidden="1"/>
    </xf>
    <xf numFmtId="0" fontId="4" fillId="12" borderId="63" xfId="0" applyFont="1" applyFill="1" applyBorder="1" applyProtection="1">
      <protection locked="0" hidden="1"/>
    </xf>
    <xf numFmtId="0" fontId="4" fillId="12" borderId="6" xfId="0" applyFont="1" applyFill="1" applyBorder="1" applyProtection="1">
      <protection locked="0" hidden="1"/>
    </xf>
    <xf numFmtId="0" fontId="4" fillId="12" borderId="19" xfId="0" applyFont="1" applyFill="1" applyBorder="1" applyProtection="1">
      <protection locked="0" hidden="1"/>
    </xf>
    <xf numFmtId="0" fontId="4" fillId="12" borderId="27" xfId="0" applyFont="1" applyFill="1" applyBorder="1" applyProtection="1">
      <protection hidden="1"/>
    </xf>
    <xf numFmtId="0" fontId="4" fillId="12" borderId="52" xfId="0" applyFont="1" applyFill="1" applyBorder="1" applyProtection="1">
      <protection hidden="1"/>
    </xf>
    <xf numFmtId="0" fontId="4" fillId="12" borderId="6" xfId="0" applyFont="1" applyFill="1" applyBorder="1" applyAlignment="1" applyProtection="1">
      <alignment horizontal="left"/>
      <protection locked="0" hidden="1"/>
    </xf>
    <xf numFmtId="0" fontId="4" fillId="12" borderId="19" xfId="0" applyFont="1" applyFill="1" applyBorder="1" applyAlignment="1" applyProtection="1">
      <alignment horizontal="left"/>
      <protection locked="0" hidden="1"/>
    </xf>
    <xf numFmtId="0" fontId="38" fillId="0" borderId="10" xfId="0" applyFont="1" applyBorder="1" applyAlignment="1">
      <alignment horizontal="left"/>
    </xf>
    <xf numFmtId="0" fontId="38" fillId="0" borderId="11" xfId="0" applyFont="1" applyBorder="1" applyAlignment="1">
      <alignment horizontal="left"/>
    </xf>
    <xf numFmtId="164" fontId="34" fillId="7" borderId="44" xfId="0" applyNumberFormat="1" applyFont="1" applyFill="1" applyBorder="1" applyAlignment="1">
      <alignment horizontal="center"/>
    </xf>
    <xf numFmtId="164" fontId="34" fillId="7" borderId="41" xfId="0" applyNumberFormat="1" applyFont="1" applyFill="1" applyBorder="1" applyAlignment="1">
      <alignment horizontal="center"/>
    </xf>
    <xf numFmtId="164" fontId="34" fillId="0" borderId="6" xfId="0" applyNumberFormat="1" applyFont="1" applyBorder="1"/>
    <xf numFmtId="164" fontId="4" fillId="12" borderId="6" xfId="0" applyNumberFormat="1" applyFont="1" applyFill="1" applyBorder="1" applyAlignment="1" applyProtection="1">
      <alignment horizontal="left"/>
      <protection locked="0" hidden="1"/>
    </xf>
    <xf numFmtId="164" fontId="4" fillId="12" borderId="19" xfId="0" applyNumberFormat="1" applyFont="1" applyFill="1" applyBorder="1" applyAlignment="1" applyProtection="1">
      <alignment horizontal="left"/>
      <protection locked="0" hidden="1"/>
    </xf>
    <xf numFmtId="2" fontId="4" fillId="12" borderId="6" xfId="0" applyNumberFormat="1" applyFont="1" applyFill="1" applyBorder="1" applyAlignment="1" applyProtection="1">
      <alignment horizontal="left"/>
      <protection locked="0" hidden="1"/>
    </xf>
    <xf numFmtId="2" fontId="4" fillId="12" borderId="19" xfId="0" applyNumberFormat="1" applyFont="1" applyFill="1" applyBorder="1" applyAlignment="1" applyProtection="1">
      <alignment horizontal="left"/>
      <protection locked="0" hidden="1"/>
    </xf>
    <xf numFmtId="0" fontId="4" fillId="12" borderId="11" xfId="0" applyFont="1" applyFill="1" applyBorder="1" applyAlignment="1" applyProtection="1">
      <alignment horizontal="left"/>
      <protection locked="0" hidden="1"/>
    </xf>
    <xf numFmtId="0" fontId="4" fillId="12" borderId="12" xfId="0" applyFont="1" applyFill="1" applyBorder="1" applyAlignment="1" applyProtection="1">
      <alignment horizontal="left"/>
      <protection locked="0" hidden="1"/>
    </xf>
    <xf numFmtId="0" fontId="39" fillId="0" borderId="39" xfId="1" applyFont="1" applyFill="1" applyBorder="1" applyAlignment="1">
      <alignment wrapText="1"/>
    </xf>
    <xf numFmtId="0" fontId="39" fillId="0" borderId="40" xfId="1" applyFont="1" applyFill="1" applyBorder="1" applyAlignment="1">
      <alignment wrapText="1"/>
    </xf>
    <xf numFmtId="0" fontId="39" fillId="0" borderId="43" xfId="1" applyFont="1" applyFill="1" applyBorder="1" applyAlignment="1">
      <alignment wrapText="1"/>
    </xf>
    <xf numFmtId="0" fontId="4" fillId="12" borderId="27" xfId="0" applyFont="1" applyFill="1" applyBorder="1" applyAlignment="1" applyProtection="1">
      <alignment horizontal="left"/>
      <protection locked="0" hidden="1"/>
    </xf>
    <xf numFmtId="0" fontId="4" fillId="12" borderId="32" xfId="0" applyFont="1" applyFill="1" applyBorder="1" applyAlignment="1" applyProtection="1">
      <alignment horizontal="left"/>
      <protection locked="0" hidden="1"/>
    </xf>
    <xf numFmtId="0" fontId="4" fillId="12" borderId="52" xfId="0" applyFont="1" applyFill="1" applyBorder="1" applyAlignment="1" applyProtection="1">
      <alignment horizontal="left"/>
      <protection locked="0" hidden="1"/>
    </xf>
    <xf numFmtId="0" fontId="10" fillId="0" borderId="10" xfId="0" applyFont="1" applyBorder="1" applyAlignment="1">
      <alignment wrapText="1"/>
    </xf>
    <xf numFmtId="0" fontId="10" fillId="0" borderId="11" xfId="0" applyFont="1" applyBorder="1" applyAlignment="1">
      <alignment wrapText="1"/>
    </xf>
    <xf numFmtId="0" fontId="10" fillId="0" borderId="12" xfId="0" applyFont="1" applyBorder="1" applyAlignment="1">
      <alignment wrapText="1"/>
    </xf>
    <xf numFmtId="164" fontId="38" fillId="0" borderId="6" xfId="0" applyNumberFormat="1" applyFont="1" applyBorder="1"/>
    <xf numFmtId="0" fontId="38" fillId="0" borderId="11" xfId="0" applyFont="1" applyBorder="1"/>
    <xf numFmtId="164" fontId="38" fillId="0" borderId="44" xfId="0" applyNumberFormat="1" applyFont="1" applyBorder="1"/>
    <xf numFmtId="164" fontId="38" fillId="0" borderId="41" xfId="0" applyNumberFormat="1" applyFont="1" applyBorder="1"/>
    <xf numFmtId="0" fontId="10" fillId="0" borderId="18" xfId="0" applyFont="1" applyBorder="1" applyAlignment="1">
      <alignment wrapText="1"/>
    </xf>
    <xf numFmtId="0" fontId="10" fillId="0" borderId="6" xfId="0" applyFont="1" applyBorder="1" applyAlignment="1">
      <alignment wrapText="1"/>
    </xf>
    <xf numFmtId="0" fontId="10" fillId="0" borderId="19" xfId="0" applyFont="1" applyBorder="1" applyAlignment="1">
      <alignment wrapText="1"/>
    </xf>
    <xf numFmtId="0" fontId="14" fillId="0" borderId="51" xfId="0" applyFont="1" applyBorder="1" applyAlignment="1">
      <alignment wrapText="1"/>
    </xf>
    <xf numFmtId="0" fontId="0" fillId="0" borderId="32" xfId="0" applyBorder="1" applyAlignment="1">
      <alignment wrapText="1"/>
    </xf>
    <xf numFmtId="0" fontId="0" fillId="0" borderId="52" xfId="0" applyBorder="1" applyAlignment="1">
      <alignment wrapText="1"/>
    </xf>
    <xf numFmtId="0" fontId="38" fillId="0" borderId="8" xfId="0" applyFont="1" applyBorder="1" applyAlignment="1">
      <alignment horizontal="right"/>
    </xf>
    <xf numFmtId="0" fontId="62" fillId="0" borderId="18" xfId="0" applyFont="1" applyBorder="1"/>
    <xf numFmtId="0" fontId="12" fillId="0" borderId="6" xfId="0" applyFont="1" applyBorder="1"/>
    <xf numFmtId="0" fontId="12" fillId="0" borderId="19" xfId="0" applyFont="1" applyBorder="1"/>
    <xf numFmtId="0" fontId="54" fillId="0" borderId="7" xfId="0" applyFont="1" applyBorder="1" applyAlignment="1">
      <alignment horizontal="left"/>
    </xf>
    <xf numFmtId="0" fontId="54" fillId="0" borderId="8" xfId="0" applyFont="1" applyBorder="1" applyAlignment="1">
      <alignment horizontal="left"/>
    </xf>
    <xf numFmtId="0" fontId="54" fillId="0" borderId="9" xfId="0" applyFont="1" applyBorder="1" applyAlignment="1">
      <alignment horizontal="left"/>
    </xf>
    <xf numFmtId="0" fontId="38" fillId="0" borderId="7" xfId="0" applyFont="1" applyBorder="1" applyAlignment="1">
      <alignment horizontal="left"/>
    </xf>
    <xf numFmtId="0" fontId="38" fillId="0" borderId="8" xfId="0" applyFont="1" applyBorder="1" applyAlignment="1">
      <alignment horizontal="left"/>
    </xf>
    <xf numFmtId="0" fontId="20" fillId="5" borderId="51" xfId="0" applyFont="1" applyFill="1" applyBorder="1" applyAlignment="1">
      <alignment horizontal="left" vertical="center" wrapText="1"/>
    </xf>
    <xf numFmtId="0" fontId="20" fillId="5" borderId="28" xfId="0" applyFont="1" applyFill="1" applyBorder="1" applyAlignment="1">
      <alignment horizontal="left" vertical="center" wrapText="1"/>
    </xf>
    <xf numFmtId="0" fontId="20" fillId="5" borderId="18" xfId="0" applyFont="1" applyFill="1" applyBorder="1" applyAlignment="1">
      <alignment horizontal="left" vertical="center" wrapText="1"/>
    </xf>
    <xf numFmtId="0" fontId="20" fillId="5" borderId="6" xfId="0" applyFont="1" applyFill="1" applyBorder="1" applyAlignment="1">
      <alignment horizontal="left" vertical="center" wrapText="1"/>
    </xf>
    <xf numFmtId="0" fontId="20" fillId="5" borderId="32" xfId="0" applyFont="1" applyFill="1" applyBorder="1" applyAlignment="1">
      <alignment horizontal="left" vertical="center" wrapText="1"/>
    </xf>
    <xf numFmtId="8" fontId="0" fillId="0" borderId="32" xfId="0" applyNumberFormat="1" applyBorder="1" applyAlignment="1">
      <alignment horizontal="center" vertical="center" wrapText="1"/>
    </xf>
    <xf numFmtId="8" fontId="0" fillId="0" borderId="52" xfId="0" applyNumberFormat="1" applyBorder="1" applyAlignment="1">
      <alignment horizontal="center" vertical="center" wrapText="1"/>
    </xf>
    <xf numFmtId="164" fontId="0" fillId="0" borderId="32" xfId="0" applyNumberFormat="1" applyBorder="1" applyAlignment="1">
      <alignment horizontal="left"/>
    </xf>
    <xf numFmtId="0" fontId="19" fillId="10" borderId="46" xfId="0" applyFont="1" applyFill="1" applyBorder="1" applyAlignment="1">
      <alignment horizontal="center" vertical="center" wrapText="1"/>
    </xf>
    <xf numFmtId="0" fontId="19" fillId="10" borderId="47" xfId="0" applyFont="1" applyFill="1" applyBorder="1" applyAlignment="1">
      <alignment horizontal="center" vertical="center" wrapText="1"/>
    </xf>
    <xf numFmtId="0" fontId="19" fillId="10" borderId="57" xfId="0" applyFont="1" applyFill="1" applyBorder="1" applyAlignment="1">
      <alignment horizontal="center" vertical="center" wrapText="1"/>
    </xf>
    <xf numFmtId="0" fontId="29" fillId="3" borderId="11" xfId="0" applyFont="1" applyFill="1" applyBorder="1" applyAlignment="1">
      <alignment horizontal="left" vertical="center"/>
    </xf>
    <xf numFmtId="0" fontId="7" fillId="10" borderId="8" xfId="0" applyFont="1" applyFill="1" applyBorder="1" applyAlignment="1">
      <alignment horizontal="center" vertical="center" wrapText="1"/>
    </xf>
    <xf numFmtId="8" fontId="29" fillId="3" borderId="6" xfId="0" applyNumberFormat="1" applyFont="1" applyFill="1" applyBorder="1" applyAlignment="1">
      <alignment horizontal="right" vertical="center"/>
    </xf>
    <xf numFmtId="8" fontId="29" fillId="3" borderId="11" xfId="0" applyNumberFormat="1" applyFont="1" applyFill="1" applyBorder="1" applyAlignment="1">
      <alignment horizontal="right" vertical="center"/>
    </xf>
    <xf numFmtId="0" fontId="7" fillId="10" borderId="56" xfId="0" applyFont="1" applyFill="1" applyBorder="1" applyAlignment="1">
      <alignment horizontal="center" vertical="center" wrapText="1"/>
    </xf>
    <xf numFmtId="0" fontId="7" fillId="10" borderId="47" xfId="0" applyFont="1" applyFill="1" applyBorder="1" applyAlignment="1">
      <alignment horizontal="center" vertical="center" wrapText="1"/>
    </xf>
    <xf numFmtId="0" fontId="7" fillId="10" borderId="45" xfId="0" applyFont="1" applyFill="1" applyBorder="1" applyAlignment="1">
      <alignment horizontal="center" vertical="center" wrapText="1"/>
    </xf>
    <xf numFmtId="8" fontId="29" fillId="3" borderId="27" xfId="0" applyNumberFormat="1" applyFont="1" applyFill="1" applyBorder="1" applyAlignment="1">
      <alignment horizontal="right" vertical="center"/>
    </xf>
    <xf numFmtId="8" fontId="29" fillId="3" borderId="32" xfId="0" applyNumberFormat="1" applyFont="1" applyFill="1" applyBorder="1" applyAlignment="1">
      <alignment horizontal="right" vertical="center"/>
    </xf>
    <xf numFmtId="8" fontId="29" fillId="3" borderId="28" xfId="0" applyNumberFormat="1" applyFont="1" applyFill="1" applyBorder="1" applyAlignment="1">
      <alignment horizontal="right" vertical="center"/>
    </xf>
    <xf numFmtId="8" fontId="29" fillId="3" borderId="66" xfId="0" applyNumberFormat="1" applyFont="1" applyFill="1" applyBorder="1" applyAlignment="1">
      <alignment horizontal="right" vertical="center"/>
    </xf>
    <xf numFmtId="8" fontId="29" fillId="3" borderId="49" xfId="0" applyNumberFormat="1" applyFont="1" applyFill="1" applyBorder="1" applyAlignment="1">
      <alignment horizontal="right" vertical="center"/>
    </xf>
    <xf numFmtId="8" fontId="29" fillId="3" borderId="50" xfId="0" applyNumberFormat="1" applyFont="1" applyFill="1" applyBorder="1" applyAlignment="1">
      <alignment horizontal="right" vertical="center"/>
    </xf>
    <xf numFmtId="0" fontId="29" fillId="3" borderId="6" xfId="0" applyFont="1" applyFill="1" applyBorder="1" applyAlignment="1">
      <alignment horizontal="left" vertical="center"/>
    </xf>
    <xf numFmtId="0" fontId="0" fillId="0" borderId="0" xfId="0" applyAlignment="1">
      <alignment horizontal="left" wrapText="1"/>
    </xf>
    <xf numFmtId="0" fontId="37" fillId="0" borderId="0" xfId="0" applyFont="1" applyAlignment="1">
      <alignment horizontal="left" vertical="center"/>
    </xf>
    <xf numFmtId="0" fontId="37" fillId="0" borderId="0" xfId="0" applyFont="1"/>
    <xf numFmtId="0" fontId="3" fillId="0" borderId="51" xfId="0" applyFont="1" applyBorder="1" applyAlignment="1">
      <alignment vertical="center" wrapText="1"/>
    </xf>
    <xf numFmtId="0" fontId="3" fillId="0" borderId="32" xfId="0" applyFont="1" applyBorder="1" applyAlignment="1">
      <alignment vertical="center" wrapText="1"/>
    </xf>
    <xf numFmtId="0" fontId="19" fillId="10" borderId="42"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19" fillId="10" borderId="31" xfId="0" applyFont="1" applyFill="1" applyBorder="1" applyAlignment="1">
      <alignment horizontal="center" vertical="center" wrapText="1"/>
    </xf>
    <xf numFmtId="0" fontId="20" fillId="5" borderId="61" xfId="0" applyFont="1" applyFill="1" applyBorder="1" applyAlignment="1">
      <alignment horizontal="left" vertical="center" wrapText="1"/>
    </xf>
    <xf numFmtId="0" fontId="20" fillId="5" borderId="23" xfId="0" applyFont="1" applyFill="1" applyBorder="1" applyAlignment="1">
      <alignment horizontal="left" vertical="center" wrapText="1"/>
    </xf>
    <xf numFmtId="0" fontId="20" fillId="5" borderId="24" xfId="0" applyFont="1" applyFill="1" applyBorder="1" applyAlignment="1">
      <alignment horizontal="left" vertical="center" wrapText="1"/>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19" fillId="10" borderId="7"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24" fillId="0" borderId="51" xfId="0" applyFont="1" applyBorder="1" applyAlignment="1">
      <alignment horizontal="left"/>
    </xf>
    <xf numFmtId="0" fontId="24" fillId="0" borderId="28" xfId="0" applyFont="1" applyBorder="1" applyAlignment="1">
      <alignment horizontal="left"/>
    </xf>
    <xf numFmtId="0" fontId="19" fillId="10" borderId="45" xfId="0" applyFont="1" applyFill="1" applyBorder="1" applyAlignment="1">
      <alignment horizontal="center" vertical="center" wrapText="1"/>
    </xf>
    <xf numFmtId="0" fontId="20" fillId="5" borderId="51" xfId="0" applyFont="1" applyFill="1" applyBorder="1" applyAlignment="1">
      <alignment vertical="center" wrapText="1"/>
    </xf>
    <xf numFmtId="0" fontId="20" fillId="5" borderId="28" xfId="0" applyFont="1" applyFill="1" applyBorder="1" applyAlignment="1">
      <alignment vertical="center" wrapText="1"/>
    </xf>
    <xf numFmtId="0" fontId="3" fillId="0" borderId="42" xfId="0" applyFont="1" applyBorder="1" applyAlignment="1">
      <alignment vertical="center"/>
    </xf>
    <xf numFmtId="0" fontId="3" fillId="0" borderId="30" xfId="0" applyFont="1" applyBorder="1" applyAlignment="1">
      <alignment vertical="center"/>
    </xf>
    <xf numFmtId="4" fontId="0" fillId="3" borderId="6" xfId="0" applyNumberFormat="1" applyFill="1" applyBorder="1" applyAlignment="1">
      <alignment vertical="center"/>
    </xf>
    <xf numFmtId="0" fontId="34" fillId="0" borderId="0" xfId="0" applyFont="1" applyAlignment="1">
      <alignment horizontal="left"/>
    </xf>
    <xf numFmtId="0" fontId="23" fillId="10" borderId="46" xfId="0" applyFont="1" applyFill="1" applyBorder="1" applyAlignment="1">
      <alignment horizontal="left" vertical="center"/>
    </xf>
    <xf numFmtId="0" fontId="23" fillId="10" borderId="47" xfId="0" applyFont="1" applyFill="1" applyBorder="1" applyAlignment="1">
      <alignment horizontal="left" vertical="center"/>
    </xf>
    <xf numFmtId="0" fontId="23" fillId="10" borderId="6" xfId="0" applyFont="1" applyFill="1" applyBorder="1" applyAlignment="1">
      <alignment horizontal="center" vertical="center" wrapText="1"/>
    </xf>
    <xf numFmtId="0" fontId="23" fillId="10" borderId="19" xfId="0" applyFont="1" applyFill="1" applyBorder="1" applyAlignment="1">
      <alignment horizontal="center" vertical="center" wrapText="1"/>
    </xf>
    <xf numFmtId="0" fontId="20" fillId="5" borderId="48" xfId="0" applyFont="1" applyFill="1" applyBorder="1" applyAlignment="1">
      <alignment horizontal="left" vertical="center" wrapText="1"/>
    </xf>
    <xf numFmtId="0" fontId="20" fillId="5" borderId="49" xfId="0" applyFont="1" applyFill="1" applyBorder="1" applyAlignment="1">
      <alignment horizontal="left" vertical="center" wrapText="1"/>
    </xf>
    <xf numFmtId="0" fontId="20" fillId="5" borderId="50" xfId="0" applyFont="1" applyFill="1" applyBorder="1" applyAlignment="1">
      <alignment horizontal="left" vertical="center" wrapText="1"/>
    </xf>
    <xf numFmtId="0" fontId="0" fillId="0" borderId="32" xfId="0" applyBorder="1"/>
    <xf numFmtId="0" fontId="0" fillId="0" borderId="32" xfId="0" applyBorder="1" applyAlignment="1">
      <alignment horizontal="left" vertical="center" wrapText="1"/>
    </xf>
    <xf numFmtId="0" fontId="3" fillId="0" borderId="54" xfId="0" applyFont="1" applyBorder="1" applyAlignment="1">
      <alignment vertical="center" wrapText="1"/>
    </xf>
    <xf numFmtId="0" fontId="3" fillId="0" borderId="53" xfId="0" applyFont="1" applyBorder="1" applyAlignment="1">
      <alignment vertical="center" wrapText="1"/>
    </xf>
    <xf numFmtId="0" fontId="26" fillId="0" borderId="0" xfId="0" applyFont="1" applyAlignment="1">
      <alignment horizontal="left" vertical="center"/>
    </xf>
    <xf numFmtId="0" fontId="22" fillId="0" borderId="0" xfId="0" applyFont="1" applyAlignment="1">
      <alignment horizontal="left" vertical="center"/>
    </xf>
    <xf numFmtId="0" fontId="26" fillId="0" borderId="0" xfId="0" applyFont="1" applyAlignment="1">
      <alignment horizontal="center"/>
    </xf>
    <xf numFmtId="0" fontId="0" fillId="0" borderId="13" xfId="0" applyBorder="1" applyAlignment="1">
      <alignment vertical="center"/>
    </xf>
    <xf numFmtId="0" fontId="0" fillId="0" borderId="0" xfId="0" applyAlignment="1">
      <alignment vertical="center"/>
    </xf>
    <xf numFmtId="0" fontId="0" fillId="0" borderId="14" xfId="0" applyBorder="1" applyAlignment="1">
      <alignment vertical="center"/>
    </xf>
    <xf numFmtId="0" fontId="0" fillId="0" borderId="54" xfId="0" applyBorder="1" applyAlignment="1">
      <alignment vertical="center"/>
    </xf>
    <xf numFmtId="0" fontId="0" fillId="0" borderId="53" xfId="0" applyBorder="1" applyAlignment="1">
      <alignment vertical="center"/>
    </xf>
    <xf numFmtId="0" fontId="0" fillId="0" borderId="26" xfId="0" applyBorder="1" applyAlignment="1">
      <alignment vertical="center"/>
    </xf>
    <xf numFmtId="0" fontId="23" fillId="10" borderId="0" xfId="0" applyFont="1" applyFill="1" applyAlignment="1">
      <alignment horizontal="center" vertical="center" wrapText="1"/>
    </xf>
    <xf numFmtId="0" fontId="23" fillId="10" borderId="14" xfId="0" applyFont="1" applyFill="1" applyBorder="1" applyAlignment="1">
      <alignment horizontal="center" vertical="center" wrapText="1"/>
    </xf>
    <xf numFmtId="0" fontId="3" fillId="0" borderId="0" xfId="0" applyFont="1" applyAlignment="1">
      <alignment vertical="center" wrapText="1"/>
    </xf>
    <xf numFmtId="0" fontId="20" fillId="5" borderId="0" xfId="0" applyFont="1" applyFill="1" applyAlignment="1">
      <alignment horizontal="left" vertical="center" wrapText="1"/>
    </xf>
    <xf numFmtId="0" fontId="20" fillId="5" borderId="10" xfId="0" applyFont="1" applyFill="1" applyBorder="1" applyAlignment="1">
      <alignment horizontal="left" vertical="center" wrapText="1"/>
    </xf>
    <xf numFmtId="0" fontId="20" fillId="5" borderId="11" xfId="0" applyFont="1" applyFill="1" applyBorder="1" applyAlignment="1">
      <alignment horizontal="left" vertical="center" wrapText="1"/>
    </xf>
    <xf numFmtId="0" fontId="3" fillId="0" borderId="46" xfId="0" applyFont="1" applyBorder="1" applyAlignment="1">
      <alignment vertical="center"/>
    </xf>
    <xf numFmtId="0" fontId="25" fillId="0" borderId="47" xfId="0" applyFont="1" applyBorder="1" applyAlignment="1">
      <alignment vertical="center"/>
    </xf>
    <xf numFmtId="0" fontId="25" fillId="0" borderId="57" xfId="0" applyFont="1" applyBorder="1" applyAlignment="1">
      <alignment vertical="center"/>
    </xf>
    <xf numFmtId="0" fontId="0" fillId="0" borderId="0" xfId="0" applyAlignment="1">
      <alignment vertical="center" wrapText="1"/>
    </xf>
    <xf numFmtId="164" fontId="0" fillId="0" borderId="32" xfId="0" applyNumberFormat="1" applyBorder="1" applyAlignment="1">
      <alignment horizontal="center" vertical="center" wrapText="1"/>
    </xf>
    <xf numFmtId="164" fontId="21" fillId="3" borderId="47" xfId="0" applyNumberFormat="1" applyFont="1" applyFill="1" applyBorder="1" applyAlignment="1">
      <alignment horizontal="center" vertical="center" wrapText="1"/>
    </xf>
    <xf numFmtId="0" fontId="34" fillId="0" borderId="0" xfId="0" applyFont="1"/>
    <xf numFmtId="0" fontId="36" fillId="0" borderId="0" xfId="0" applyFont="1" applyAlignment="1">
      <alignment horizontal="center" vertical="center"/>
    </xf>
    <xf numFmtId="0" fontId="47" fillId="0" borderId="0" xfId="0" applyFont="1" applyAlignment="1">
      <alignment horizontal="left" vertical="center"/>
    </xf>
    <xf numFmtId="0" fontId="0" fillId="0" borderId="22" xfId="0" applyBorder="1" applyAlignment="1">
      <alignment horizontal="right" vertical="center" wrapText="1"/>
    </xf>
    <xf numFmtId="0" fontId="0" fillId="0" borderId="63" xfId="0" applyBorder="1" applyAlignment="1">
      <alignment horizontal="right" vertical="center" wrapText="1"/>
    </xf>
    <xf numFmtId="0" fontId="4" fillId="10" borderId="65"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17" xfId="0" applyFont="1" applyFill="1" applyBorder="1" applyAlignment="1">
      <alignment horizontal="left" vertical="center" wrapText="1"/>
    </xf>
    <xf numFmtId="0" fontId="4" fillId="10" borderId="54" xfId="0" applyFont="1" applyFill="1" applyBorder="1" applyAlignment="1">
      <alignment horizontal="left" vertical="center" wrapText="1"/>
    </xf>
    <xf numFmtId="0" fontId="4" fillId="10" borderId="53"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28" fillId="10" borderId="7" xfId="0" applyFont="1" applyFill="1" applyBorder="1" applyAlignment="1">
      <alignment horizontal="left" vertical="center" wrapText="1"/>
    </xf>
    <xf numFmtId="0" fontId="28" fillId="10" borderId="8" xfId="0" applyFont="1" applyFill="1" applyBorder="1" applyAlignment="1">
      <alignment horizontal="left" vertical="center" wrapText="1"/>
    </xf>
    <xf numFmtId="9" fontId="1" fillId="0" borderId="71" xfId="0" applyNumberFormat="1" applyFont="1" applyBorder="1" applyAlignment="1">
      <alignment horizontal="right" vertical="center" wrapText="1"/>
    </xf>
    <xf numFmtId="9" fontId="1" fillId="0" borderId="72" xfId="0" applyNumberFormat="1" applyFont="1" applyBorder="1" applyAlignment="1">
      <alignment horizontal="right" vertical="center" wrapText="1"/>
    </xf>
    <xf numFmtId="0" fontId="4" fillId="10" borderId="18"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0" fillId="0" borderId="15" xfId="0" applyBorder="1" applyAlignment="1">
      <alignment horizontal="right" vertical="center" wrapText="1"/>
    </xf>
    <xf numFmtId="0" fontId="0" fillId="0" borderId="60" xfId="0" applyBorder="1" applyAlignment="1">
      <alignment horizontal="right" vertical="center" wrapText="1"/>
    </xf>
    <xf numFmtId="0" fontId="0" fillId="0" borderId="20" xfId="0" applyBorder="1" applyAlignment="1">
      <alignment horizontal="right" vertical="center" wrapText="1"/>
    </xf>
    <xf numFmtId="0" fontId="0" fillId="0" borderId="14" xfId="0" applyBorder="1" applyAlignment="1">
      <alignment horizontal="right" vertical="center" wrapText="1"/>
    </xf>
    <xf numFmtId="0" fontId="4" fillId="10" borderId="61"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0" fillId="0" borderId="22" xfId="0" applyBorder="1" applyAlignment="1">
      <alignment horizontal="right" vertical="top" wrapText="1"/>
    </xf>
    <xf numFmtId="0" fontId="0" fillId="0" borderId="63" xfId="0" applyBorder="1" applyAlignment="1">
      <alignment horizontal="right" vertical="top" wrapText="1"/>
    </xf>
    <xf numFmtId="0" fontId="37" fillId="3" borderId="0" xfId="0" applyFont="1" applyFill="1"/>
    <xf numFmtId="0" fontId="27" fillId="0" borderId="0" xfId="0" applyFont="1"/>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57" xfId="0" applyFont="1" applyBorder="1" applyAlignment="1">
      <alignment horizontal="left" vertical="center"/>
    </xf>
    <xf numFmtId="0" fontId="0" fillId="0" borderId="0" xfId="0" applyAlignment="1">
      <alignment horizontal="left" vertical="center" wrapText="1"/>
    </xf>
    <xf numFmtId="0" fontId="23" fillId="10" borderId="20" xfId="0" applyFont="1" applyFill="1" applyBorder="1" applyAlignment="1">
      <alignment horizontal="center" vertical="center" wrapText="1"/>
    </xf>
    <xf numFmtId="0" fontId="23" fillId="10" borderId="21" xfId="0" applyFont="1" applyFill="1" applyBorder="1" applyAlignment="1">
      <alignment horizontal="center" vertical="center" wrapText="1"/>
    </xf>
    <xf numFmtId="0" fontId="0" fillId="0" borderId="51" xfId="0" applyBorder="1" applyAlignment="1">
      <alignment vertical="center" wrapText="1"/>
    </xf>
    <xf numFmtId="0" fontId="0" fillId="0" borderId="32" xfId="0" applyBorder="1" applyAlignment="1">
      <alignment vertical="center" wrapText="1"/>
    </xf>
    <xf numFmtId="0" fontId="0" fillId="0" borderId="51" xfId="0" applyBorder="1" applyAlignment="1">
      <alignment horizontal="left" vertical="center" wrapText="1"/>
    </xf>
    <xf numFmtId="164" fontId="0" fillId="0" borderId="47" xfId="0" applyNumberFormat="1" applyBorder="1" applyAlignment="1">
      <alignment horizontal="center"/>
    </xf>
    <xf numFmtId="6" fontId="0" fillId="0" borderId="32" xfId="0" applyNumberFormat="1" applyBorder="1" applyAlignment="1">
      <alignment horizontal="center"/>
    </xf>
    <xf numFmtId="0" fontId="0" fillId="0" borderId="0" xfId="0" applyAlignment="1">
      <alignment horizontal="left"/>
    </xf>
    <xf numFmtId="0" fontId="3" fillId="0" borderId="0" xfId="0" applyFont="1" applyAlignment="1">
      <alignment horizontal="left" vertical="center" wrapText="1"/>
    </xf>
    <xf numFmtId="0" fontId="3" fillId="0" borderId="54" xfId="0" applyFont="1" applyBorder="1" applyAlignment="1">
      <alignment horizontal="left"/>
    </xf>
    <xf numFmtId="0" fontId="3" fillId="0" borderId="53" xfId="0" applyFont="1" applyBorder="1" applyAlignment="1">
      <alignment horizontal="left"/>
    </xf>
    <xf numFmtId="0" fontId="26" fillId="0" borderId="0" xfId="0" applyFont="1" applyAlignment="1">
      <alignment horizontal="left"/>
    </xf>
    <xf numFmtId="0" fontId="0" fillId="0" borderId="51" xfId="0" applyBorder="1" applyAlignment="1">
      <alignment horizontal="left"/>
    </xf>
    <xf numFmtId="0" fontId="0" fillId="0" borderId="32" xfId="0" applyBorder="1" applyAlignment="1">
      <alignment horizontal="left"/>
    </xf>
    <xf numFmtId="4" fontId="0" fillId="3" borderId="11" xfId="0" applyNumberFormat="1" applyFill="1" applyBorder="1" applyAlignment="1">
      <alignment vertical="center"/>
    </xf>
    <xf numFmtId="0" fontId="17" fillId="9" borderId="8" xfId="0" applyFont="1" applyFill="1" applyBorder="1" applyAlignment="1">
      <alignment horizontal="center" vertical="center"/>
    </xf>
    <xf numFmtId="4" fontId="0" fillId="3" borderId="6" xfId="0" applyNumberFormat="1" applyFill="1" applyBorder="1" applyAlignment="1">
      <alignment horizontal="right" vertical="center"/>
    </xf>
    <xf numFmtId="4" fontId="0" fillId="3" borderId="11" xfId="0" applyNumberFormat="1" applyFill="1" applyBorder="1" applyAlignment="1">
      <alignment horizontal="right" vertical="center"/>
    </xf>
    <xf numFmtId="3" fontId="0" fillId="3" borderId="6" xfId="0" applyNumberFormat="1" applyFill="1" applyBorder="1" applyAlignment="1">
      <alignment horizontal="right" vertical="center"/>
    </xf>
    <xf numFmtId="3" fontId="0" fillId="3" borderId="11" xfId="0" applyNumberFormat="1" applyFill="1" applyBorder="1" applyAlignment="1">
      <alignment horizontal="right" vertical="center"/>
    </xf>
    <xf numFmtId="0" fontId="17" fillId="9" borderId="28" xfId="0" applyFont="1" applyFill="1" applyBorder="1" applyAlignment="1">
      <alignment horizontal="center" vertical="center"/>
    </xf>
    <xf numFmtId="0" fontId="17" fillId="9" borderId="6" xfId="0" applyFont="1" applyFill="1" applyBorder="1" applyAlignment="1">
      <alignment horizontal="center" vertical="center"/>
    </xf>
    <xf numFmtId="168" fontId="0" fillId="3" borderId="6" xfId="2" applyNumberFormat="1" applyFont="1" applyFill="1" applyBorder="1" applyAlignment="1">
      <alignment horizontal="center" vertical="center"/>
    </xf>
    <xf numFmtId="0" fontId="33" fillId="0" borderId="0" xfId="0" applyFont="1" applyAlignment="1">
      <alignment horizontal="center" vertical="center"/>
    </xf>
    <xf numFmtId="0" fontId="35" fillId="0" borderId="0" xfId="0" applyFont="1" applyAlignment="1">
      <alignment horizontal="center" vertical="center"/>
    </xf>
    <xf numFmtId="0" fontId="52" fillId="0" borderId="54" xfId="1" applyFont="1" applyFill="1" applyBorder="1" applyAlignment="1" applyProtection="1">
      <alignment wrapText="1"/>
    </xf>
    <xf numFmtId="0" fontId="53" fillId="0" borderId="53" xfId="1" applyFont="1" applyFill="1" applyBorder="1" applyAlignment="1" applyProtection="1">
      <alignment wrapText="1"/>
    </xf>
    <xf numFmtId="0" fontId="53" fillId="0" borderId="26" xfId="1" applyFont="1" applyFill="1" applyBorder="1" applyAlignment="1" applyProtection="1">
      <alignment wrapText="1"/>
    </xf>
    <xf numFmtId="2" fontId="4" fillId="12" borderId="6" xfId="0" applyNumberFormat="1" applyFont="1" applyFill="1" applyBorder="1" applyAlignment="1" applyProtection="1">
      <alignment horizontal="left"/>
      <protection locked="0"/>
    </xf>
    <xf numFmtId="2" fontId="4" fillId="12" borderId="19" xfId="0" applyNumberFormat="1" applyFont="1" applyFill="1" applyBorder="1" applyAlignment="1" applyProtection="1">
      <alignment horizontal="left"/>
      <protection locked="0"/>
    </xf>
    <xf numFmtId="2" fontId="4" fillId="12" borderId="11" xfId="0" applyNumberFormat="1" applyFont="1" applyFill="1" applyBorder="1" applyAlignment="1" applyProtection="1">
      <alignment horizontal="left"/>
      <protection locked="0"/>
    </xf>
    <xf numFmtId="2" fontId="4" fillId="12" borderId="12" xfId="0" applyNumberFormat="1" applyFont="1" applyFill="1" applyBorder="1" applyAlignment="1" applyProtection="1">
      <alignment horizontal="left"/>
      <protection locked="0"/>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38" fillId="0" borderId="18" xfId="0" applyFont="1" applyBorder="1"/>
    <xf numFmtId="0" fontId="38" fillId="0" borderId="6" xfId="0" applyFont="1" applyBorder="1"/>
    <xf numFmtId="0" fontId="38" fillId="0" borderId="10" xfId="0" applyFont="1" applyBorder="1"/>
    <xf numFmtId="0" fontId="38" fillId="0" borderId="46" xfId="0" applyFont="1" applyBorder="1" applyAlignment="1">
      <alignment horizontal="left"/>
    </xf>
    <xf numFmtId="0" fontId="38" fillId="0" borderId="47" xfId="0" applyFont="1" applyBorder="1" applyAlignment="1">
      <alignment horizontal="left"/>
    </xf>
    <xf numFmtId="0" fontId="38" fillId="0" borderId="45" xfId="0" applyFont="1" applyBorder="1" applyAlignment="1">
      <alignment horizontal="left"/>
    </xf>
    <xf numFmtId="0" fontId="38" fillId="0" borderId="48" xfId="0" applyFont="1" applyBorder="1" applyAlignment="1">
      <alignment horizontal="left"/>
    </xf>
    <xf numFmtId="0" fontId="38" fillId="0" borderId="49" xfId="0" applyFont="1" applyBorder="1" applyAlignment="1">
      <alignment horizontal="left"/>
    </xf>
    <xf numFmtId="0" fontId="38" fillId="0" borderId="50" xfId="0" applyFont="1" applyBorder="1" applyAlignment="1">
      <alignment horizontal="left"/>
    </xf>
    <xf numFmtId="0" fontId="38" fillId="0" borderId="36" xfId="0" applyFont="1" applyBorder="1"/>
    <xf numFmtId="0" fontId="38" fillId="0" borderId="37" xfId="0" applyFont="1" applyBorder="1"/>
    <xf numFmtId="0" fontId="38" fillId="0" borderId="0" xfId="0" applyFont="1" applyAlignment="1">
      <alignment horizontal="left"/>
    </xf>
    <xf numFmtId="0" fontId="38" fillId="0" borderId="51" xfId="0" applyFont="1" applyBorder="1" applyAlignment="1">
      <alignment horizontal="left"/>
    </xf>
    <xf numFmtId="0" fontId="38" fillId="0" borderId="32" xfId="0" applyFont="1" applyBorder="1" applyAlignment="1">
      <alignment horizontal="left"/>
    </xf>
    <xf numFmtId="0" fontId="38" fillId="0" borderId="28" xfId="0" applyFont="1" applyBorder="1" applyAlignment="1">
      <alignment horizontal="left"/>
    </xf>
    <xf numFmtId="0" fontId="54" fillId="0" borderId="42" xfId="0" applyFont="1" applyBorder="1" applyAlignment="1">
      <alignment horizontal="left"/>
    </xf>
    <xf numFmtId="0" fontId="55" fillId="0" borderId="30" xfId="0" applyFont="1" applyBorder="1" applyAlignment="1">
      <alignment horizontal="left"/>
    </xf>
    <xf numFmtId="0" fontId="55" fillId="0" borderId="31" xfId="0" applyFont="1" applyBorder="1" applyAlignment="1">
      <alignment horizontal="left"/>
    </xf>
    <xf numFmtId="0" fontId="38" fillId="0" borderId="18" xfId="0" applyFont="1" applyBorder="1" applyAlignment="1">
      <alignment horizontal="left"/>
    </xf>
    <xf numFmtId="0" fontId="38" fillId="0" borderId="6" xfId="0" applyFont="1" applyBorder="1" applyAlignment="1">
      <alignment horizontal="left"/>
    </xf>
    <xf numFmtId="0" fontId="14" fillId="0" borderId="7" xfId="0" applyFont="1" applyBorder="1"/>
    <xf numFmtId="0" fontId="14" fillId="0" borderId="8" xfId="0" applyFont="1" applyBorder="1"/>
    <xf numFmtId="0" fontId="14" fillId="0" borderId="9" xfId="0" applyFont="1" applyBorder="1"/>
    <xf numFmtId="0" fontId="54" fillId="0" borderId="8" xfId="0" applyFont="1" applyBorder="1" applyAlignment="1">
      <alignment horizontal="left" wrapText="1"/>
    </xf>
    <xf numFmtId="0" fontId="54" fillId="0" borderId="9" xfId="0" applyFont="1" applyBorder="1" applyAlignment="1">
      <alignment horizontal="left" wrapText="1"/>
    </xf>
    <xf numFmtId="0" fontId="4" fillId="12" borderId="6" xfId="0" applyFont="1" applyFill="1" applyBorder="1" applyProtection="1">
      <protection locked="0"/>
    </xf>
    <xf numFmtId="0" fontId="4" fillId="12" borderId="19" xfId="0" applyFont="1" applyFill="1" applyBorder="1" applyProtection="1">
      <protection locked="0"/>
    </xf>
    <xf numFmtId="0" fontId="4" fillId="12" borderId="6" xfId="0" applyFont="1" applyFill="1" applyBorder="1" applyAlignment="1" applyProtection="1">
      <alignment horizontal="left"/>
      <protection locked="0"/>
    </xf>
    <xf numFmtId="0" fontId="4" fillId="12" borderId="19" xfId="0" applyFont="1" applyFill="1" applyBorder="1" applyAlignment="1" applyProtection="1">
      <alignment horizontal="left"/>
      <protection locked="0"/>
    </xf>
    <xf numFmtId="164" fontId="4" fillId="12" borderId="6" xfId="0" applyNumberFormat="1" applyFont="1" applyFill="1" applyBorder="1" applyAlignment="1" applyProtection="1">
      <alignment horizontal="left"/>
      <protection locked="0"/>
    </xf>
    <xf numFmtId="164" fontId="4" fillId="12" borderId="19" xfId="0" applyNumberFormat="1" applyFont="1" applyFill="1" applyBorder="1" applyAlignment="1" applyProtection="1">
      <alignment horizontal="left"/>
      <protection locked="0"/>
    </xf>
    <xf numFmtId="2" fontId="4" fillId="12" borderId="27" xfId="0" applyNumberFormat="1" applyFont="1" applyFill="1" applyBorder="1" applyAlignment="1" applyProtection="1">
      <alignment horizontal="left"/>
      <protection locked="0"/>
    </xf>
    <xf numFmtId="2" fontId="4" fillId="12" borderId="32" xfId="0" applyNumberFormat="1" applyFont="1" applyFill="1" applyBorder="1" applyAlignment="1" applyProtection="1">
      <alignment horizontal="left"/>
      <protection locked="0"/>
    </xf>
    <xf numFmtId="2" fontId="4" fillId="12" borderId="52" xfId="0" applyNumberFormat="1" applyFont="1" applyFill="1" applyBorder="1" applyAlignment="1" applyProtection="1">
      <alignment horizontal="left"/>
      <protection locked="0"/>
    </xf>
    <xf numFmtId="0" fontId="38" fillId="0" borderId="7" xfId="0" applyFont="1" applyBorder="1" applyAlignment="1">
      <alignment horizontal="center"/>
    </xf>
    <xf numFmtId="0" fontId="38" fillId="0" borderId="8" xfId="0" applyFont="1" applyBorder="1" applyAlignment="1">
      <alignment horizontal="center"/>
    </xf>
    <xf numFmtId="0" fontId="4" fillId="12" borderId="27" xfId="0" applyFont="1" applyFill="1" applyBorder="1"/>
    <xf numFmtId="0" fontId="4" fillId="12" borderId="52" xfId="0" applyFont="1" applyFill="1" applyBorder="1"/>
    <xf numFmtId="0" fontId="56" fillId="0" borderId="56" xfId="0" applyFont="1" applyBorder="1" applyAlignment="1">
      <alignment horizontal="right"/>
    </xf>
    <xf numFmtId="0" fontId="56" fillId="0" borderId="45" xfId="0" applyFont="1" applyBorder="1" applyAlignment="1">
      <alignment horizontal="right"/>
    </xf>
    <xf numFmtId="164" fontId="57" fillId="0" borderId="27" xfId="0" applyNumberFormat="1" applyFont="1" applyBorder="1"/>
    <xf numFmtId="164" fontId="57" fillId="0" borderId="28" xfId="0" applyNumberFormat="1" applyFont="1" applyBorder="1"/>
    <xf numFmtId="0" fontId="38" fillId="0" borderId="39" xfId="0" applyFont="1" applyBorder="1" applyAlignment="1">
      <alignment horizontal="left" wrapText="1"/>
    </xf>
    <xf numFmtId="0" fontId="38" fillId="0" borderId="40" xfId="0" applyFont="1" applyBorder="1" applyAlignment="1">
      <alignment horizontal="left" wrapText="1"/>
    </xf>
    <xf numFmtId="0" fontId="38" fillId="0" borderId="39" xfId="0" applyFont="1" applyBorder="1" applyAlignment="1">
      <alignment horizontal="left"/>
    </xf>
    <xf numFmtId="0" fontId="38" fillId="0" borderId="40" xfId="0" applyFont="1" applyBorder="1" applyAlignment="1">
      <alignment horizontal="left"/>
    </xf>
    <xf numFmtId="0" fontId="38" fillId="0" borderId="41" xfId="0" applyFont="1" applyBorder="1" applyAlignment="1">
      <alignment horizontal="left"/>
    </xf>
    <xf numFmtId="0" fontId="14" fillId="0" borderId="32" xfId="0" applyFont="1" applyBorder="1" applyAlignment="1">
      <alignment wrapText="1"/>
    </xf>
    <xf numFmtId="0" fontId="14" fillId="0" borderId="52" xfId="0" applyFont="1" applyBorder="1" applyAlignment="1">
      <alignment wrapText="1"/>
    </xf>
    <xf numFmtId="0" fontId="54" fillId="0" borderId="39" xfId="0" applyFont="1" applyBorder="1" applyAlignment="1">
      <alignment horizontal="left"/>
    </xf>
    <xf numFmtId="0" fontId="54" fillId="0" borderId="40" xfId="0" applyFont="1" applyBorder="1" applyAlignment="1">
      <alignment horizontal="left"/>
    </xf>
    <xf numFmtId="0" fontId="54" fillId="0" borderId="43" xfId="0" applyFont="1" applyBorder="1" applyAlignment="1">
      <alignment horizontal="left"/>
    </xf>
    <xf numFmtId="0" fontId="38" fillId="0" borderId="10" xfId="0" applyFont="1" applyBorder="1" applyAlignment="1">
      <alignment horizontal="left" wrapText="1"/>
    </xf>
    <xf numFmtId="0" fontId="38" fillId="0" borderId="11" xfId="0" applyFont="1" applyBorder="1" applyAlignment="1">
      <alignment horizontal="left" wrapText="1"/>
    </xf>
    <xf numFmtId="0" fontId="38" fillId="0" borderId="7" xfId="0" applyFont="1" applyBorder="1"/>
    <xf numFmtId="0" fontId="38" fillId="0" borderId="8" xfId="0" applyFont="1" applyBorder="1"/>
    <xf numFmtId="0" fontId="38" fillId="0" borderId="51" xfId="0" applyFont="1" applyBorder="1"/>
    <xf numFmtId="0" fontId="38" fillId="0" borderId="32" xfId="0" applyFont="1" applyBorder="1"/>
    <xf numFmtId="0" fontId="38" fillId="0" borderId="28" xfId="0" applyFont="1" applyBorder="1"/>
    <xf numFmtId="164" fontId="38" fillId="0" borderId="44" xfId="0" applyNumberFormat="1" applyFont="1" applyBorder="1" applyAlignment="1">
      <alignment horizontal="right"/>
    </xf>
    <xf numFmtId="164" fontId="38" fillId="0" borderId="43" xfId="0" applyNumberFormat="1" applyFont="1" applyBorder="1" applyAlignment="1">
      <alignment horizontal="right"/>
    </xf>
    <xf numFmtId="164" fontId="38" fillId="0" borderId="56" xfId="0" applyNumberFormat="1" applyFont="1" applyBorder="1"/>
    <xf numFmtId="164" fontId="38" fillId="0" borderId="57" xfId="0" applyNumberFormat="1" applyFont="1" applyBorder="1"/>
    <xf numFmtId="164" fontId="38" fillId="0" borderId="27" xfId="0" applyNumberFormat="1" applyFont="1" applyBorder="1"/>
    <xf numFmtId="164" fontId="38" fillId="0" borderId="52" xfId="0" applyNumberFormat="1" applyFont="1" applyBorder="1"/>
    <xf numFmtId="164" fontId="38" fillId="0" borderId="66" xfId="0" applyNumberFormat="1" applyFont="1" applyBorder="1"/>
    <xf numFmtId="164" fontId="38" fillId="0" borderId="70" xfId="0" applyNumberFormat="1" applyFont="1" applyBorder="1"/>
    <xf numFmtId="0" fontId="38" fillId="7" borderId="15" xfId="0" applyFont="1" applyFill="1" applyBorder="1" applyAlignment="1">
      <alignment horizontal="left"/>
    </xf>
    <xf numFmtId="0" fontId="38" fillId="7" borderId="17" xfId="0" applyFont="1" applyFill="1" applyBorder="1" applyAlignment="1">
      <alignment horizontal="left"/>
    </xf>
    <xf numFmtId="0" fontId="38" fillId="7" borderId="20" xfId="0" applyFont="1" applyFill="1" applyBorder="1" applyAlignment="1">
      <alignment horizontal="left"/>
    </xf>
    <xf numFmtId="0" fontId="38" fillId="7" borderId="21" xfId="0" applyFont="1" applyFill="1" applyBorder="1" applyAlignment="1">
      <alignment horizontal="left"/>
    </xf>
    <xf numFmtId="0" fontId="38" fillId="7" borderId="22" xfId="0" applyFont="1" applyFill="1" applyBorder="1" applyAlignment="1">
      <alignment horizontal="left"/>
    </xf>
    <xf numFmtId="0" fontId="38" fillId="7" borderId="24" xfId="0" applyFont="1" applyFill="1" applyBorder="1" applyAlignment="1">
      <alignment horizontal="left"/>
    </xf>
    <xf numFmtId="164" fontId="38" fillId="0" borderId="50" xfId="0" applyNumberFormat="1" applyFont="1" applyBorder="1"/>
    <xf numFmtId="0" fontId="0" fillId="0" borderId="0" xfId="0"/>
    <xf numFmtId="0" fontId="3" fillId="0" borderId="0" xfId="0" applyFont="1" applyAlignment="1">
      <alignment horizontal="center"/>
    </xf>
    <xf numFmtId="4" fontId="1" fillId="2" borderId="33" xfId="0" applyNumberFormat="1" applyFont="1" applyFill="1" applyBorder="1" applyAlignment="1">
      <alignment horizontal="center"/>
    </xf>
    <xf numFmtId="4" fontId="1" fillId="2" borderId="32" xfId="0" applyNumberFormat="1" applyFont="1" applyFill="1" applyBorder="1" applyAlignment="1">
      <alignment horizontal="center"/>
    </xf>
    <xf numFmtId="4" fontId="1" fillId="2" borderId="28" xfId="0" applyNumberFormat="1" applyFont="1" applyFill="1" applyBorder="1" applyAlignment="1">
      <alignment horizontal="center"/>
    </xf>
    <xf numFmtId="4" fontId="0" fillId="4" borderId="0" xfId="0" applyNumberFormat="1" applyFill="1" applyAlignment="1">
      <alignment horizontal="left"/>
    </xf>
    <xf numFmtId="0" fontId="0" fillId="4" borderId="0" xfId="0" applyFill="1" applyAlignment="1">
      <alignment horizontal="left"/>
    </xf>
    <xf numFmtId="4" fontId="48" fillId="0" borderId="0" xfId="0" applyNumberFormat="1" applyFont="1"/>
    <xf numFmtId="4" fontId="1" fillId="2" borderId="34" xfId="0" applyNumberFormat="1" applyFont="1" applyFill="1" applyBorder="1" applyAlignment="1">
      <alignment horizontal="center"/>
    </xf>
    <xf numFmtId="4" fontId="1" fillId="2" borderId="6" xfId="0" applyNumberFormat="1" applyFont="1" applyFill="1" applyBorder="1" applyAlignment="1">
      <alignment horizontal="center"/>
    </xf>
    <xf numFmtId="0" fontId="42" fillId="9" borderId="39" xfId="0" applyFont="1" applyFill="1" applyBorder="1" applyAlignment="1">
      <alignment vertical="center"/>
    </xf>
    <xf numFmtId="0" fontId="42" fillId="9" borderId="43" xfId="0" applyFont="1" applyFill="1" applyBorder="1" applyAlignment="1">
      <alignment vertical="center"/>
    </xf>
    <xf numFmtId="0" fontId="6" fillId="5" borderId="14" xfId="0" applyFont="1" applyFill="1" applyBorder="1" applyAlignment="1">
      <alignment vertical="center" wrapText="1"/>
    </xf>
    <xf numFmtId="0" fontId="6" fillId="5" borderId="14" xfId="0" applyFont="1" applyFill="1" applyBorder="1" applyAlignment="1">
      <alignment horizontal="center" vertical="center" wrapText="1"/>
    </xf>
  </cellXfs>
  <cellStyles count="4">
    <cellStyle name="Komma" xfId="2" builtinId="3"/>
    <cellStyle name="Link" xfId="1" builtinId="8"/>
    <cellStyle name="Normal" xfId="0" builtinId="0"/>
    <cellStyle name="Valuta" xfId="3" builtinId="4"/>
  </cellStyles>
  <dxfs count="0"/>
  <tableStyles count="0" defaultTableStyle="TableStyleMedium2" defaultPivotStyle="PivotStyleLight16"/>
  <colors>
    <mruColors>
      <color rgb="FF003FC2"/>
      <color rgb="FF56BAFF"/>
      <color rgb="FF0089FF"/>
      <color rgb="FF0076DA"/>
      <color rgb="FF79C2FF"/>
      <color rgb="FFFF5955"/>
      <color rgb="FF9FD4E3"/>
      <color rgb="FFFF76DA"/>
      <color rgb="FF008DAB"/>
      <color rgb="FFBC05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1182689</xdr:colOff>
      <xdr:row>1</xdr:row>
      <xdr:rowOff>134938</xdr:rowOff>
    </xdr:from>
    <xdr:to>
      <xdr:col>6</xdr:col>
      <xdr:colOff>1385889</xdr:colOff>
      <xdr:row>1</xdr:row>
      <xdr:rowOff>850866</xdr:rowOff>
    </xdr:to>
    <xdr:pic>
      <xdr:nvPicPr>
        <xdr:cNvPr id="3" name="Billede 2">
          <a:extLst>
            <a:ext uri="{FF2B5EF4-FFF2-40B4-BE49-F238E27FC236}">
              <a16:creationId xmlns:a16="http://schemas.microsoft.com/office/drawing/2014/main" id="{49ADB0A2-7079-5941-AEAB-8A514CDE14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07064" y="428626"/>
          <a:ext cx="1536700" cy="715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1075264</xdr:colOff>
      <xdr:row>1</xdr:row>
      <xdr:rowOff>143933</xdr:rowOff>
    </xdr:from>
    <xdr:to>
      <xdr:col>4</xdr:col>
      <xdr:colOff>1087964</xdr:colOff>
      <xdr:row>1</xdr:row>
      <xdr:rowOff>859861</xdr:rowOff>
    </xdr:to>
    <xdr:pic>
      <xdr:nvPicPr>
        <xdr:cNvPr id="4" name="Billede 3">
          <a:extLst>
            <a:ext uri="{FF2B5EF4-FFF2-40B4-BE49-F238E27FC236}">
              <a16:creationId xmlns:a16="http://schemas.microsoft.com/office/drawing/2014/main" id="{4982B8A7-9CD6-4797-6596-1D787ADAA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4331" y="491066"/>
          <a:ext cx="1536700" cy="715928"/>
        </a:xfrm>
        <a:prstGeom prst="rect">
          <a:avLst/>
        </a:prstGeom>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9D690-EF23-44C4-95DD-B1E897189173}">
  <sheetPr>
    <pageSetUpPr fitToPage="1"/>
  </sheetPr>
  <dimension ref="A2:N507"/>
  <sheetViews>
    <sheetView showGridLines="0" showRuler="0" view="pageLayout" topLeftCell="A478" zoomScale="115" zoomScaleNormal="100" zoomScalePageLayoutView="115" workbookViewId="0">
      <selection activeCell="N485" sqref="N485"/>
    </sheetView>
  </sheetViews>
  <sheetFormatPr baseColWidth="10" defaultColWidth="8.83203125" defaultRowHeight="15"/>
  <cols>
    <col min="1" max="1" width="2.33203125" customWidth="1"/>
    <col min="2" max="2" width="11.1640625" customWidth="1"/>
    <col min="3" max="3" width="10.1640625" customWidth="1"/>
    <col min="4" max="4" width="11.6640625" bestFit="1" customWidth="1"/>
    <col min="5" max="5" width="2" customWidth="1"/>
    <col min="6" max="6" width="12.1640625" bestFit="1" customWidth="1"/>
    <col min="7" max="7" width="1.5" customWidth="1"/>
    <col min="8" max="8" width="9.83203125" bestFit="1" customWidth="1"/>
    <col min="9" max="9" width="1.83203125" bestFit="1" customWidth="1"/>
    <col min="10" max="10" width="9.83203125" bestFit="1" customWidth="1"/>
    <col min="11" max="11" width="2.83203125" customWidth="1"/>
    <col min="12" max="12" width="15.83203125" customWidth="1"/>
    <col min="13" max="13" width="4.1640625" customWidth="1"/>
  </cols>
  <sheetData>
    <row r="2" spans="2:12" ht="21">
      <c r="B2" s="55"/>
      <c r="C2" s="526" t="s">
        <v>260</v>
      </c>
      <c r="D2" s="526"/>
      <c r="E2" s="526"/>
      <c r="F2" s="526"/>
      <c r="G2" s="526"/>
      <c r="H2" s="526"/>
      <c r="I2" s="526"/>
      <c r="J2" s="526"/>
      <c r="K2" s="526"/>
      <c r="L2" s="526"/>
    </row>
    <row r="3" spans="2:12" ht="13.75" customHeight="1">
      <c r="L3" s="22"/>
    </row>
    <row r="4" spans="2:12" ht="15.5" customHeight="1">
      <c r="C4" s="68" t="s">
        <v>192</v>
      </c>
      <c r="D4" s="69" t="s">
        <v>8</v>
      </c>
      <c r="E4" s="69"/>
      <c r="F4" s="69" t="s">
        <v>9</v>
      </c>
      <c r="G4" s="95"/>
      <c r="H4" s="95" t="s">
        <v>10</v>
      </c>
      <c r="I4" s="96"/>
      <c r="J4" s="523" t="s">
        <v>11</v>
      </c>
      <c r="K4" s="524"/>
      <c r="L4" s="69" t="s">
        <v>12</v>
      </c>
    </row>
    <row r="5" spans="2:12" ht="16">
      <c r="C5" s="70">
        <v>29</v>
      </c>
      <c r="D5" s="525">
        <f>'Aktuelle data'!B8</f>
        <v>382246</v>
      </c>
      <c r="E5" s="525"/>
      <c r="F5" s="525">
        <f>'Aktuelle data'!C8</f>
        <v>386646</v>
      </c>
      <c r="G5" s="525"/>
      <c r="H5" s="525">
        <f>'Aktuelle data'!D8</f>
        <v>389690</v>
      </c>
      <c r="I5" s="525"/>
      <c r="J5" s="525">
        <f>'Aktuelle data'!E8</f>
        <v>394087</v>
      </c>
      <c r="K5" s="525"/>
      <c r="L5" s="206">
        <f>'Aktuelle data'!F8</f>
        <v>397133</v>
      </c>
    </row>
    <row r="6" spans="2:12" ht="16">
      <c r="C6" s="70">
        <v>30</v>
      </c>
      <c r="D6" s="525">
        <f>'Aktuelle data'!B9</f>
        <v>388651</v>
      </c>
      <c r="E6" s="525"/>
      <c r="F6" s="525">
        <f>'Aktuelle data'!C9</f>
        <v>392816</v>
      </c>
      <c r="G6" s="525"/>
      <c r="H6" s="525">
        <f>'Aktuelle data'!D9</f>
        <v>395701</v>
      </c>
      <c r="I6" s="525"/>
      <c r="J6" s="525">
        <f>'Aktuelle data'!E9</f>
        <v>399864</v>
      </c>
      <c r="K6" s="525"/>
      <c r="L6" s="206">
        <f>'Aktuelle data'!F9</f>
        <v>402748</v>
      </c>
    </row>
    <row r="7" spans="2:12" ht="16">
      <c r="C7" s="70">
        <v>31</v>
      </c>
      <c r="D7" s="525">
        <f>'Aktuelle data'!B10</f>
        <v>395202</v>
      </c>
      <c r="E7" s="525"/>
      <c r="F7" s="525">
        <f>'Aktuelle data'!C10</f>
        <v>399121</v>
      </c>
      <c r="G7" s="525"/>
      <c r="H7" s="525">
        <f>'Aktuelle data'!D10</f>
        <v>401832</v>
      </c>
      <c r="I7" s="525"/>
      <c r="J7" s="525">
        <f>'Aktuelle data'!E10</f>
        <v>405751</v>
      </c>
      <c r="K7" s="525"/>
      <c r="L7" s="206">
        <f>'Aktuelle data'!F10</f>
        <v>408462</v>
      </c>
    </row>
    <row r="8" spans="2:12" ht="16">
      <c r="C8" s="70">
        <v>32</v>
      </c>
      <c r="D8" s="525">
        <f>'Aktuelle data'!B11</f>
        <v>401898</v>
      </c>
      <c r="E8" s="525"/>
      <c r="F8" s="525">
        <f>'Aktuelle data'!C11</f>
        <v>405552</v>
      </c>
      <c r="G8" s="525"/>
      <c r="H8" s="525">
        <f>'Aktuelle data'!D11</f>
        <v>408080</v>
      </c>
      <c r="I8" s="525"/>
      <c r="J8" s="525">
        <f>'Aktuelle data'!E11</f>
        <v>411736</v>
      </c>
      <c r="K8" s="525"/>
      <c r="L8" s="206">
        <f>'Aktuelle data'!F11</f>
        <v>414265</v>
      </c>
    </row>
    <row r="9" spans="2:12" ht="16">
      <c r="C9" s="70">
        <v>33</v>
      </c>
      <c r="D9" s="525">
        <f>'Aktuelle data'!B12</f>
        <v>408740</v>
      </c>
      <c r="E9" s="525"/>
      <c r="F9" s="525">
        <f>'Aktuelle data'!C12</f>
        <v>412115</v>
      </c>
      <c r="G9" s="525"/>
      <c r="H9" s="525">
        <f>'Aktuelle data'!D12</f>
        <v>414451</v>
      </c>
      <c r="I9" s="525"/>
      <c r="J9" s="525">
        <f>'Aktuelle data'!E12</f>
        <v>417825</v>
      </c>
      <c r="K9" s="525"/>
      <c r="L9" s="206">
        <f>'Aktuelle data'!F12</f>
        <v>420160</v>
      </c>
    </row>
    <row r="10" spans="2:12" ht="16">
      <c r="C10" s="70">
        <v>34</v>
      </c>
      <c r="D10" s="525">
        <f>'Aktuelle data'!B13</f>
        <v>415740</v>
      </c>
      <c r="E10" s="525"/>
      <c r="F10" s="525">
        <f>'Aktuelle data'!C13</f>
        <v>418819</v>
      </c>
      <c r="G10" s="525"/>
      <c r="H10" s="525">
        <f>'Aktuelle data'!D13</f>
        <v>420948</v>
      </c>
      <c r="I10" s="525"/>
      <c r="J10" s="525">
        <f>'Aktuelle data'!E13</f>
        <v>424027</v>
      </c>
      <c r="K10" s="525"/>
      <c r="L10" s="206">
        <f>'Aktuelle data'!F13</f>
        <v>426158</v>
      </c>
    </row>
    <row r="11" spans="2:12" ht="16">
      <c r="C11" s="70">
        <v>35</v>
      </c>
      <c r="D11" s="525">
        <f>'Aktuelle data'!B14</f>
        <v>422888</v>
      </c>
      <c r="E11" s="525"/>
      <c r="F11" s="525">
        <f>'Aktuelle data'!C14</f>
        <v>425652</v>
      </c>
      <c r="G11" s="525"/>
      <c r="H11" s="525">
        <f>'Aktuelle data'!D14</f>
        <v>427565</v>
      </c>
      <c r="I11" s="525"/>
      <c r="J11" s="525">
        <f>'Aktuelle data'!E14</f>
        <v>430328</v>
      </c>
      <c r="K11" s="525"/>
      <c r="L11" s="206">
        <f>'Aktuelle data'!F14</f>
        <v>432243</v>
      </c>
    </row>
    <row r="12" spans="2:12" ht="16">
      <c r="C12" s="70">
        <v>36</v>
      </c>
      <c r="D12" s="525">
        <f>'Aktuelle data'!B15</f>
        <v>430199</v>
      </c>
      <c r="E12" s="525"/>
      <c r="F12" s="525">
        <f>'Aktuelle data'!C15</f>
        <v>432631</v>
      </c>
      <c r="G12" s="525"/>
      <c r="H12" s="525">
        <f>'Aktuelle data'!D15</f>
        <v>434313</v>
      </c>
      <c r="I12" s="525"/>
      <c r="J12" s="525">
        <f>'Aktuelle data'!E15</f>
        <v>436743</v>
      </c>
      <c r="K12" s="525"/>
      <c r="L12" s="206">
        <f>'Aktuelle data'!F15</f>
        <v>438426</v>
      </c>
    </row>
    <row r="13" spans="2:12" ht="16">
      <c r="C13" s="70">
        <v>37</v>
      </c>
      <c r="D13" s="525">
        <f>'Aktuelle data'!B16</f>
        <v>437669</v>
      </c>
      <c r="E13" s="525"/>
      <c r="F13" s="525">
        <f>'Aktuelle data'!C16</f>
        <v>439747</v>
      </c>
      <c r="G13" s="525"/>
      <c r="H13" s="525">
        <f>'Aktuelle data'!D16</f>
        <v>441187</v>
      </c>
      <c r="I13" s="525"/>
      <c r="J13" s="525">
        <f>'Aktuelle data'!E16</f>
        <v>443266</v>
      </c>
      <c r="K13" s="525"/>
      <c r="L13" s="206">
        <f>'Aktuelle data'!F16</f>
        <v>444704</v>
      </c>
    </row>
    <row r="14" spans="2:12" ht="16">
      <c r="C14" s="70">
        <v>38</v>
      </c>
      <c r="D14" s="525">
        <f>'Aktuelle data'!B17</f>
        <v>445599</v>
      </c>
      <c r="E14" s="525"/>
      <c r="F14" s="525">
        <f>'Aktuelle data'!C17</f>
        <v>447338</v>
      </c>
      <c r="G14" s="525"/>
      <c r="H14" s="525">
        <f>'Aktuelle data'!D17</f>
        <v>448544</v>
      </c>
      <c r="I14" s="525"/>
      <c r="J14" s="525">
        <f>'Aktuelle data'!E17</f>
        <v>450283</v>
      </c>
      <c r="K14" s="525"/>
      <c r="L14" s="206">
        <f>'Aktuelle data'!F17</f>
        <v>451490</v>
      </c>
    </row>
    <row r="15" spans="2:12" ht="16">
      <c r="C15" s="70">
        <v>39</v>
      </c>
      <c r="D15" s="525">
        <f>'Aktuelle data'!B18</f>
        <v>453560</v>
      </c>
      <c r="E15" s="525"/>
      <c r="F15" s="525">
        <f>'Aktuelle data'!C18</f>
        <v>454899</v>
      </c>
      <c r="G15" s="525"/>
      <c r="H15" s="525">
        <f>'Aktuelle data'!D18</f>
        <v>455827</v>
      </c>
      <c r="I15" s="525"/>
      <c r="J15" s="525">
        <f>'Aktuelle data'!E18</f>
        <v>457166</v>
      </c>
      <c r="K15" s="525"/>
      <c r="L15" s="206">
        <f>'Aktuelle data'!F18</f>
        <v>458095</v>
      </c>
    </row>
    <row r="16" spans="2:12" ht="16">
      <c r="C16" s="70">
        <v>40</v>
      </c>
      <c r="D16" s="525">
        <f>'Aktuelle data'!B19</f>
        <v>461701</v>
      </c>
      <c r="E16" s="525"/>
      <c r="F16" s="525">
        <f>'Aktuelle data'!C19</f>
        <v>462617</v>
      </c>
      <c r="G16" s="525"/>
      <c r="H16" s="525">
        <f>'Aktuelle data'!D19</f>
        <v>463252</v>
      </c>
      <c r="I16" s="525"/>
      <c r="J16" s="525">
        <f>'Aktuelle data'!E19</f>
        <v>464169</v>
      </c>
      <c r="K16" s="525"/>
      <c r="L16" s="206">
        <f>'Aktuelle data'!F19</f>
        <v>464804</v>
      </c>
    </row>
    <row r="17" spans="3:12" ht="16">
      <c r="C17" s="70">
        <v>41</v>
      </c>
      <c r="D17" s="525">
        <f>'Aktuelle data'!B20</f>
        <v>470019</v>
      </c>
      <c r="E17" s="525"/>
      <c r="F17" s="525">
        <f>'Aktuelle data'!C20</f>
        <v>470489</v>
      </c>
      <c r="G17" s="525"/>
      <c r="H17" s="525">
        <f>'Aktuelle data'!D20</f>
        <v>470816</v>
      </c>
      <c r="I17" s="525"/>
      <c r="J17" s="525">
        <f>'Aktuelle data'!E20</f>
        <v>471284</v>
      </c>
      <c r="K17" s="525"/>
      <c r="L17" s="206">
        <f>'Aktuelle data'!F20</f>
        <v>471611</v>
      </c>
    </row>
    <row r="18" spans="3:12" ht="16">
      <c r="C18" s="70">
        <v>42</v>
      </c>
      <c r="D18" s="525">
        <f>'Aktuelle data'!B21</f>
        <v>478517</v>
      </c>
      <c r="E18" s="525"/>
      <c r="F18" s="525">
        <f>'Aktuelle data'!C21</f>
        <v>478517</v>
      </c>
      <c r="G18" s="525"/>
      <c r="H18" s="525">
        <f>'Aktuelle data'!D21</f>
        <v>478517</v>
      </c>
      <c r="I18" s="525"/>
      <c r="J18" s="525">
        <f>'Aktuelle data'!E21</f>
        <v>478517</v>
      </c>
      <c r="K18" s="525"/>
      <c r="L18" s="206">
        <f>'Aktuelle data'!F21</f>
        <v>478517</v>
      </c>
    </row>
    <row r="19" spans="3:12" ht="16">
      <c r="C19" s="70">
        <v>43</v>
      </c>
      <c r="D19" s="525">
        <f>'Aktuelle data'!B22</f>
        <v>489152</v>
      </c>
      <c r="E19" s="525"/>
      <c r="F19" s="525">
        <f>'Aktuelle data'!C22</f>
        <v>489152</v>
      </c>
      <c r="G19" s="525"/>
      <c r="H19" s="525">
        <f>'Aktuelle data'!D22</f>
        <v>489152</v>
      </c>
      <c r="I19" s="525"/>
      <c r="J19" s="525">
        <f>'Aktuelle data'!E22</f>
        <v>489152</v>
      </c>
      <c r="K19" s="525"/>
      <c r="L19" s="206">
        <f>'Aktuelle data'!F22</f>
        <v>489152</v>
      </c>
    </row>
    <row r="20" spans="3:12" ht="16">
      <c r="C20" s="70">
        <v>44</v>
      </c>
      <c r="D20" s="525">
        <f>'Aktuelle data'!B23</f>
        <v>500081</v>
      </c>
      <c r="E20" s="525"/>
      <c r="F20" s="525">
        <f>'Aktuelle data'!C23</f>
        <v>500081</v>
      </c>
      <c r="G20" s="525"/>
      <c r="H20" s="525">
        <f>'Aktuelle data'!D23</f>
        <v>500081</v>
      </c>
      <c r="I20" s="525"/>
      <c r="J20" s="525">
        <f>'Aktuelle data'!E23</f>
        <v>500081</v>
      </c>
      <c r="K20" s="525"/>
      <c r="L20" s="206">
        <f>'Aktuelle data'!F23</f>
        <v>500081</v>
      </c>
    </row>
    <row r="21" spans="3:12" ht="16">
      <c r="C21" s="70">
        <v>45</v>
      </c>
      <c r="D21" s="525">
        <f>'Aktuelle data'!B24</f>
        <v>511309</v>
      </c>
      <c r="E21" s="525"/>
      <c r="F21" s="525">
        <f>'Aktuelle data'!C24</f>
        <v>511309</v>
      </c>
      <c r="G21" s="525"/>
      <c r="H21" s="525">
        <f>'Aktuelle data'!D24</f>
        <v>511309</v>
      </c>
      <c r="I21" s="525"/>
      <c r="J21" s="525">
        <f>'Aktuelle data'!E24</f>
        <v>511309</v>
      </c>
      <c r="K21" s="525"/>
      <c r="L21" s="206">
        <f>'Aktuelle data'!F24</f>
        <v>511309</v>
      </c>
    </row>
    <row r="22" spans="3:12" ht="16">
      <c r="C22" s="70">
        <v>46</v>
      </c>
      <c r="D22" s="525">
        <f>'Aktuelle data'!B25</f>
        <v>522846</v>
      </c>
      <c r="E22" s="525"/>
      <c r="F22" s="525">
        <f>'Aktuelle data'!C25</f>
        <v>522846</v>
      </c>
      <c r="G22" s="525"/>
      <c r="H22" s="525">
        <f>'Aktuelle data'!D25</f>
        <v>522846</v>
      </c>
      <c r="I22" s="525"/>
      <c r="J22" s="525">
        <f>'Aktuelle data'!E25</f>
        <v>522846</v>
      </c>
      <c r="K22" s="525"/>
      <c r="L22" s="206">
        <f>'Aktuelle data'!F25</f>
        <v>522846</v>
      </c>
    </row>
    <row r="23" spans="3:12" ht="16">
      <c r="C23" s="70">
        <v>47</v>
      </c>
      <c r="D23" s="525">
        <f>'Aktuelle data'!B26</f>
        <v>532153</v>
      </c>
      <c r="E23" s="525"/>
      <c r="F23" s="525">
        <f>'Aktuelle data'!C26</f>
        <v>532153</v>
      </c>
      <c r="G23" s="525"/>
      <c r="H23" s="525">
        <f>'Aktuelle data'!D26</f>
        <v>532153</v>
      </c>
      <c r="I23" s="525"/>
      <c r="J23" s="525">
        <f>'Aktuelle data'!E26</f>
        <v>532153</v>
      </c>
      <c r="K23" s="525"/>
      <c r="L23" s="206">
        <f>'Aktuelle data'!F26</f>
        <v>532153</v>
      </c>
    </row>
    <row r="24" spans="3:12" ht="16">
      <c r="C24" s="70">
        <v>48</v>
      </c>
      <c r="D24" s="525">
        <f>'Aktuelle data'!B27</f>
        <v>556615</v>
      </c>
      <c r="E24" s="525"/>
      <c r="F24" s="525">
        <f>'Aktuelle data'!C27</f>
        <v>556615</v>
      </c>
      <c r="G24" s="525"/>
      <c r="H24" s="525">
        <f>'Aktuelle data'!D27</f>
        <v>556615</v>
      </c>
      <c r="I24" s="525"/>
      <c r="J24" s="525">
        <f>'Aktuelle data'!E27</f>
        <v>556615</v>
      </c>
      <c r="K24" s="525"/>
      <c r="L24" s="206">
        <f>'Aktuelle data'!F27</f>
        <v>556615</v>
      </c>
    </row>
    <row r="25" spans="3:12" ht="16">
      <c r="C25" s="70">
        <v>49</v>
      </c>
      <c r="D25" s="525">
        <f>'Aktuelle data'!B28</f>
        <v>593969</v>
      </c>
      <c r="E25" s="525"/>
      <c r="F25" s="525">
        <f>'Aktuelle data'!C28</f>
        <v>593969</v>
      </c>
      <c r="G25" s="525"/>
      <c r="H25" s="525">
        <f>'Aktuelle data'!D28</f>
        <v>593969</v>
      </c>
      <c r="I25" s="525"/>
      <c r="J25" s="525">
        <f>'Aktuelle data'!E28</f>
        <v>593969</v>
      </c>
      <c r="K25" s="525"/>
      <c r="L25" s="206">
        <f>'Aktuelle data'!F28</f>
        <v>593969</v>
      </c>
    </row>
    <row r="26" spans="3:12" ht="16">
      <c r="C26" s="70">
        <v>50</v>
      </c>
      <c r="D26" s="525">
        <f>'Aktuelle data'!B29</f>
        <v>635433</v>
      </c>
      <c r="E26" s="525"/>
      <c r="F26" s="525">
        <f>'Aktuelle data'!C29</f>
        <v>635433</v>
      </c>
      <c r="G26" s="525"/>
      <c r="H26" s="525">
        <f>'Aktuelle data'!D29</f>
        <v>635433</v>
      </c>
      <c r="I26" s="525"/>
      <c r="J26" s="525">
        <f>'Aktuelle data'!E29</f>
        <v>635433</v>
      </c>
      <c r="K26" s="525"/>
      <c r="L26" s="206">
        <f>'Aktuelle data'!F29</f>
        <v>635433</v>
      </c>
    </row>
    <row r="27" spans="3:12" ht="16">
      <c r="C27" s="70">
        <v>51</v>
      </c>
      <c r="D27" s="525">
        <f>'Aktuelle data'!B30</f>
        <v>701882</v>
      </c>
      <c r="E27" s="525"/>
      <c r="F27" s="525">
        <f>'Aktuelle data'!C30</f>
        <v>701882</v>
      </c>
      <c r="G27" s="525"/>
      <c r="H27" s="525">
        <f>'Aktuelle data'!D30</f>
        <v>701882</v>
      </c>
      <c r="I27" s="525"/>
      <c r="J27" s="525">
        <f>'Aktuelle data'!E30</f>
        <v>701882</v>
      </c>
      <c r="K27" s="525"/>
      <c r="L27" s="206">
        <f>'Aktuelle data'!F30</f>
        <v>701882</v>
      </c>
    </row>
    <row r="28" spans="3:12" ht="16">
      <c r="C28" s="70">
        <v>52</v>
      </c>
      <c r="D28" s="525">
        <f>'Aktuelle data'!B31</f>
        <v>798654</v>
      </c>
      <c r="E28" s="525"/>
      <c r="F28" s="525">
        <f>'Aktuelle data'!C31</f>
        <v>798654</v>
      </c>
      <c r="G28" s="525"/>
      <c r="H28" s="525">
        <f>'Aktuelle data'!D31</f>
        <v>798654</v>
      </c>
      <c r="I28" s="525"/>
      <c r="J28" s="525">
        <f>'Aktuelle data'!E31</f>
        <v>798654</v>
      </c>
      <c r="K28" s="525"/>
      <c r="L28" s="206">
        <f>'Aktuelle data'!F31</f>
        <v>798654</v>
      </c>
    </row>
    <row r="29" spans="3:12" ht="16">
      <c r="C29" s="70">
        <v>53</v>
      </c>
      <c r="D29" s="525">
        <f>'Aktuelle data'!B32</f>
        <v>876892</v>
      </c>
      <c r="E29" s="525"/>
      <c r="F29" s="525">
        <f>'Aktuelle data'!C32</f>
        <v>876892</v>
      </c>
      <c r="G29" s="525"/>
      <c r="H29" s="525">
        <f>'Aktuelle data'!D32</f>
        <v>876892</v>
      </c>
      <c r="I29" s="525"/>
      <c r="J29" s="525">
        <f>'Aktuelle data'!E32</f>
        <v>876892</v>
      </c>
      <c r="K29" s="525"/>
      <c r="L29" s="206">
        <f>'Aktuelle data'!F32</f>
        <v>876892</v>
      </c>
    </row>
    <row r="30" spans="3:12" ht="16">
      <c r="C30" s="70">
        <v>54</v>
      </c>
      <c r="D30" s="525">
        <f>'Aktuelle data'!B33</f>
        <v>981196</v>
      </c>
      <c r="E30" s="525"/>
      <c r="F30" s="525">
        <f>'Aktuelle data'!C33</f>
        <v>981196</v>
      </c>
      <c r="G30" s="525"/>
      <c r="H30" s="525">
        <f>'Aktuelle data'!D33</f>
        <v>981196</v>
      </c>
      <c r="I30" s="525"/>
      <c r="J30" s="525">
        <f>'Aktuelle data'!E33</f>
        <v>981196</v>
      </c>
      <c r="K30" s="525"/>
      <c r="L30" s="206">
        <f>'Aktuelle data'!F33</f>
        <v>981196</v>
      </c>
    </row>
    <row r="31" spans="3:12" ht="16">
      <c r="C31" s="70">
        <v>55</v>
      </c>
      <c r="D31" s="525">
        <f>'Aktuelle data'!B34</f>
        <v>1106570</v>
      </c>
      <c r="E31" s="525"/>
      <c r="F31" s="525">
        <f>'Aktuelle data'!C34</f>
        <v>1106570</v>
      </c>
      <c r="G31" s="525"/>
      <c r="H31" s="525">
        <f>'Aktuelle data'!D34</f>
        <v>1106570</v>
      </c>
      <c r="I31" s="525"/>
      <c r="J31" s="525">
        <f>'Aktuelle data'!E34</f>
        <v>1106570</v>
      </c>
      <c r="K31" s="525"/>
      <c r="L31" s="206">
        <f>'Aktuelle data'!F34</f>
        <v>1106570</v>
      </c>
    </row>
    <row r="32" spans="3:12" ht="15.5" customHeight="1">
      <c r="C32" s="70" t="s">
        <v>13</v>
      </c>
      <c r="D32" s="525">
        <f>'Aktuelle data'!B35</f>
        <v>1247158</v>
      </c>
      <c r="E32" s="525"/>
      <c r="F32" s="525">
        <f>'Aktuelle data'!C35</f>
        <v>1247158</v>
      </c>
      <c r="G32" s="525"/>
      <c r="H32" s="525">
        <f>'Aktuelle data'!D35</f>
        <v>1247158</v>
      </c>
      <c r="I32" s="525"/>
      <c r="J32" s="525">
        <f>'Aktuelle data'!E35</f>
        <v>1247158</v>
      </c>
      <c r="K32" s="525"/>
      <c r="L32" s="206">
        <f>'Aktuelle data'!F35</f>
        <v>1247158</v>
      </c>
    </row>
    <row r="34" spans="2:12">
      <c r="B34" s="207"/>
    </row>
    <row r="35" spans="2:12">
      <c r="B35" s="437" t="s">
        <v>188</v>
      </c>
      <c r="C35" s="437"/>
      <c r="D35" s="437"/>
      <c r="E35" s="437"/>
      <c r="F35" s="437"/>
      <c r="G35" s="437"/>
      <c r="H35" s="437"/>
      <c r="I35" s="437"/>
      <c r="J35" s="437"/>
      <c r="K35" s="23"/>
      <c r="L35" s="204">
        <f>1500*'Aktuelle data'!C37</f>
        <v>2480.067</v>
      </c>
    </row>
    <row r="36" spans="2:12">
      <c r="B36" s="437" t="s">
        <v>189</v>
      </c>
      <c r="C36" s="437"/>
      <c r="D36" s="437"/>
      <c r="E36" s="437"/>
      <c r="F36" s="437"/>
      <c r="G36" s="437"/>
      <c r="H36" s="437"/>
      <c r="I36" s="437"/>
      <c r="J36" s="437"/>
      <c r="K36" s="23"/>
      <c r="L36" s="204">
        <f>L35/12</f>
        <v>206.67224999999999</v>
      </c>
    </row>
    <row r="37" spans="2:12">
      <c r="B37" s="470" t="s">
        <v>190</v>
      </c>
      <c r="C37" s="470"/>
      <c r="D37" s="470"/>
      <c r="E37" s="470"/>
      <c r="F37" s="470"/>
      <c r="G37" s="470"/>
      <c r="H37" s="470"/>
      <c r="I37" s="470"/>
      <c r="J37" s="470"/>
    </row>
    <row r="67" spans="3:14" ht="21">
      <c r="C67" s="526" t="s">
        <v>191</v>
      </c>
      <c r="D67" s="526"/>
      <c r="E67" s="526"/>
      <c r="F67" s="526"/>
      <c r="G67" s="526"/>
      <c r="H67" s="526"/>
      <c r="I67" s="526"/>
      <c r="J67" s="526"/>
      <c r="K67" s="526"/>
      <c r="L67" s="526"/>
    </row>
    <row r="68" spans="3:14" ht="16" thickBot="1">
      <c r="C68" s="208"/>
      <c r="D68" s="208"/>
      <c r="E68" s="208"/>
      <c r="F68" s="208"/>
      <c r="G68" s="208"/>
      <c r="H68" s="208"/>
      <c r="I68" s="208"/>
      <c r="J68" s="208"/>
      <c r="K68" s="208"/>
      <c r="L68" s="208"/>
    </row>
    <row r="69" spans="3:14" ht="16">
      <c r="C69" s="73" t="s">
        <v>192</v>
      </c>
      <c r="D69" s="74" t="s">
        <v>8</v>
      </c>
      <c r="E69" s="74"/>
      <c r="F69" s="74" t="s">
        <v>9</v>
      </c>
      <c r="G69" s="74"/>
      <c r="H69" s="74" t="s">
        <v>10</v>
      </c>
      <c r="I69" s="74"/>
      <c r="J69" s="518" t="s">
        <v>11</v>
      </c>
      <c r="K69" s="518"/>
      <c r="L69" s="75" t="s">
        <v>12</v>
      </c>
    </row>
    <row r="70" spans="3:14" ht="16">
      <c r="C70" s="299">
        <v>29</v>
      </c>
      <c r="D70" s="519">
        <f>'Aktuelle data'!I8</f>
        <v>31853.83</v>
      </c>
      <c r="E70" s="519"/>
      <c r="F70" s="519">
        <f>'Aktuelle data'!J8</f>
        <v>32220.5</v>
      </c>
      <c r="G70" s="519"/>
      <c r="H70" s="519">
        <f>'Aktuelle data'!K8</f>
        <v>32474.17</v>
      </c>
      <c r="I70" s="519"/>
      <c r="J70" s="436">
        <f>'Aktuelle data'!L8</f>
        <v>32840.58</v>
      </c>
      <c r="K70" s="436"/>
      <c r="L70" s="209">
        <f>'Aktuelle data'!M8</f>
        <v>33094.42</v>
      </c>
    </row>
    <row r="71" spans="3:14" ht="16">
      <c r="C71" s="299">
        <v>30</v>
      </c>
      <c r="D71" s="519">
        <f>'Aktuelle data'!I9</f>
        <v>32387.58</v>
      </c>
      <c r="E71" s="519"/>
      <c r="F71" s="519">
        <f>'Aktuelle data'!J9</f>
        <v>32734.67</v>
      </c>
      <c r="G71" s="519"/>
      <c r="H71" s="519">
        <f>'Aktuelle data'!K9</f>
        <v>32975.08</v>
      </c>
      <c r="I71" s="519"/>
      <c r="J71" s="436">
        <f>'Aktuelle data'!L9</f>
        <v>33322</v>
      </c>
      <c r="K71" s="436"/>
      <c r="L71" s="209">
        <f>'Aktuelle data'!M9</f>
        <v>33562.33</v>
      </c>
    </row>
    <row r="72" spans="3:14" ht="16">
      <c r="C72" s="299">
        <v>31</v>
      </c>
      <c r="D72" s="519">
        <f>'Aktuelle data'!I10</f>
        <v>32933.5</v>
      </c>
      <c r="E72" s="519"/>
      <c r="F72" s="519">
        <f>'Aktuelle data'!J10</f>
        <v>33260.080000000002</v>
      </c>
      <c r="G72" s="519"/>
      <c r="H72" s="519">
        <f>'Aktuelle data'!K10</f>
        <v>33486</v>
      </c>
      <c r="I72" s="519"/>
      <c r="J72" s="436">
        <f>'Aktuelle data'!L10</f>
        <v>33812.58</v>
      </c>
      <c r="K72" s="436"/>
      <c r="L72" s="209">
        <f>'Aktuelle data'!M10</f>
        <v>34038.5</v>
      </c>
    </row>
    <row r="73" spans="3:14" ht="16">
      <c r="C73" s="299">
        <v>32</v>
      </c>
      <c r="D73" s="519">
        <f>'Aktuelle data'!I11</f>
        <v>33491.5</v>
      </c>
      <c r="E73" s="519"/>
      <c r="F73" s="519">
        <f>'Aktuelle data'!J11</f>
        <v>33796</v>
      </c>
      <c r="G73" s="519"/>
      <c r="H73" s="519">
        <f>'Aktuelle data'!K11</f>
        <v>34006.67</v>
      </c>
      <c r="I73" s="519"/>
      <c r="J73" s="436">
        <f>'Aktuelle data'!L11</f>
        <v>34311.33</v>
      </c>
      <c r="K73" s="436"/>
      <c r="L73" s="209">
        <f>'Aktuelle data'!M11</f>
        <v>34522.080000000002</v>
      </c>
    </row>
    <row r="74" spans="3:14" ht="16">
      <c r="C74" s="299">
        <v>33</v>
      </c>
      <c r="D74" s="519">
        <f>'Aktuelle data'!I12</f>
        <v>34061.67</v>
      </c>
      <c r="E74" s="519"/>
      <c r="F74" s="519">
        <f>'Aktuelle data'!J12</f>
        <v>34342.92</v>
      </c>
      <c r="G74" s="519"/>
      <c r="H74" s="519">
        <f>'Aktuelle data'!K12</f>
        <v>34537.58</v>
      </c>
      <c r="I74" s="519"/>
      <c r="J74" s="436">
        <f>'Aktuelle data'!L12</f>
        <v>34818.75</v>
      </c>
      <c r="K74" s="436"/>
      <c r="L74" s="209">
        <f>'Aktuelle data'!M12</f>
        <v>35013.33</v>
      </c>
    </row>
    <row r="75" spans="3:14" ht="16">
      <c r="C75" s="299">
        <v>34</v>
      </c>
      <c r="D75" s="519">
        <f>'Aktuelle data'!I13</f>
        <v>34645</v>
      </c>
      <c r="E75" s="519"/>
      <c r="F75" s="519">
        <f>'Aktuelle data'!J13</f>
        <v>34901.58</v>
      </c>
      <c r="G75" s="519"/>
      <c r="H75" s="519">
        <f>'Aktuelle data'!K13</f>
        <v>35079</v>
      </c>
      <c r="I75" s="519"/>
      <c r="J75" s="436">
        <f>'Aktuelle data'!L13</f>
        <v>35335.58</v>
      </c>
      <c r="K75" s="436"/>
      <c r="L75" s="209">
        <f>'Aktuelle data'!M13</f>
        <v>35513.17</v>
      </c>
    </row>
    <row r="76" spans="3:14" ht="16">
      <c r="C76" s="299">
        <v>35</v>
      </c>
      <c r="D76" s="519">
        <f>'Aktuelle data'!I14</f>
        <v>35240.67</v>
      </c>
      <c r="E76" s="519"/>
      <c r="F76" s="519">
        <f>'Aktuelle data'!J14</f>
        <v>35471</v>
      </c>
      <c r="G76" s="519"/>
      <c r="H76" s="519">
        <f>'Aktuelle data'!K14</f>
        <v>35630.42</v>
      </c>
      <c r="I76" s="519"/>
      <c r="J76" s="436">
        <f>'Aktuelle data'!L14</f>
        <v>35860.67</v>
      </c>
      <c r="K76" s="436"/>
      <c r="L76" s="209">
        <f>'Aktuelle data'!M14</f>
        <v>36020.25</v>
      </c>
    </row>
    <row r="77" spans="3:14" ht="16">
      <c r="C77" s="299">
        <v>36</v>
      </c>
      <c r="D77" s="519">
        <f>'Aktuelle data'!I15</f>
        <v>35849.919999999998</v>
      </c>
      <c r="E77" s="519"/>
      <c r="F77" s="519">
        <f>'Aktuelle data'!J15</f>
        <v>36052.58</v>
      </c>
      <c r="G77" s="519"/>
      <c r="H77" s="519">
        <f>'Aktuelle data'!K15</f>
        <v>36192.75</v>
      </c>
      <c r="I77" s="519"/>
      <c r="J77" s="436">
        <f>'Aktuelle data'!L15</f>
        <v>36395.25</v>
      </c>
      <c r="K77" s="436"/>
      <c r="L77" s="209">
        <f>'Aktuelle data'!M15</f>
        <v>36535.5</v>
      </c>
    </row>
    <row r="78" spans="3:14" ht="16">
      <c r="C78" s="299">
        <v>37</v>
      </c>
      <c r="D78" s="519">
        <f>'Aktuelle data'!I16</f>
        <v>36472.42</v>
      </c>
      <c r="E78" s="519"/>
      <c r="F78" s="519">
        <f>'Aktuelle data'!J16</f>
        <v>36645.58</v>
      </c>
      <c r="G78" s="519"/>
      <c r="H78" s="519">
        <f>'Aktuelle data'!K16</f>
        <v>36765.58</v>
      </c>
      <c r="I78" s="519"/>
      <c r="J78" s="436">
        <f>'Aktuelle data'!L16</f>
        <v>36938.83</v>
      </c>
      <c r="K78" s="436"/>
      <c r="L78" s="209">
        <f>'Aktuelle data'!M16</f>
        <v>37058.67</v>
      </c>
      <c r="N78" s="19"/>
    </row>
    <row r="79" spans="3:14" ht="16">
      <c r="C79" s="299">
        <v>38</v>
      </c>
      <c r="D79" s="519">
        <f>'Aktuelle data'!I17</f>
        <v>37133.25</v>
      </c>
      <c r="E79" s="519"/>
      <c r="F79" s="519">
        <f>'Aktuelle data'!J17</f>
        <v>37278.17</v>
      </c>
      <c r="G79" s="519"/>
      <c r="H79" s="519">
        <f>'Aktuelle data'!K17</f>
        <v>37378.67</v>
      </c>
      <c r="I79" s="519"/>
      <c r="J79" s="436">
        <f>'Aktuelle data'!L17</f>
        <v>37523.58</v>
      </c>
      <c r="K79" s="436"/>
      <c r="L79" s="209">
        <f>'Aktuelle data'!M17</f>
        <v>37624.17</v>
      </c>
    </row>
    <row r="80" spans="3:14" ht="16">
      <c r="C80" s="299">
        <v>39</v>
      </c>
      <c r="D80" s="519">
        <f>'Aktuelle data'!I18</f>
        <v>37796.67</v>
      </c>
      <c r="E80" s="519"/>
      <c r="F80" s="519">
        <f>'Aktuelle data'!J18</f>
        <v>37908.25</v>
      </c>
      <c r="G80" s="519"/>
      <c r="H80" s="519">
        <f>'Aktuelle data'!K18</f>
        <v>37985.58</v>
      </c>
      <c r="I80" s="519"/>
      <c r="J80" s="436">
        <f>'Aktuelle data'!L18</f>
        <v>38097.17</v>
      </c>
      <c r="K80" s="436"/>
      <c r="L80" s="209">
        <f>'Aktuelle data'!M18</f>
        <v>38174.58</v>
      </c>
    </row>
    <row r="81" spans="3:12" ht="16">
      <c r="C81" s="299">
        <v>40</v>
      </c>
      <c r="D81" s="519">
        <f>'Aktuelle data'!I19</f>
        <v>38475.08</v>
      </c>
      <c r="E81" s="519"/>
      <c r="F81" s="519">
        <f>'Aktuelle data'!J19</f>
        <v>38551.42</v>
      </c>
      <c r="G81" s="519"/>
      <c r="H81" s="519">
        <f>'Aktuelle data'!K19</f>
        <v>38604.33</v>
      </c>
      <c r="I81" s="519"/>
      <c r="J81" s="436">
        <f>'Aktuelle data'!L19</f>
        <v>38680.75</v>
      </c>
      <c r="K81" s="436"/>
      <c r="L81" s="209">
        <f>'Aktuelle data'!M19</f>
        <v>38733.67</v>
      </c>
    </row>
    <row r="82" spans="3:12" ht="16">
      <c r="C82" s="299">
        <v>41</v>
      </c>
      <c r="D82" s="519">
        <f>'Aktuelle data'!I20</f>
        <v>39168.25</v>
      </c>
      <c r="E82" s="519"/>
      <c r="F82" s="519">
        <f>'Aktuelle data'!J20</f>
        <v>39207.42</v>
      </c>
      <c r="G82" s="519"/>
      <c r="H82" s="519">
        <f>'Aktuelle data'!K20</f>
        <v>39234.67</v>
      </c>
      <c r="I82" s="519"/>
      <c r="J82" s="436">
        <f>'Aktuelle data'!L20</f>
        <v>39273.67</v>
      </c>
      <c r="K82" s="436"/>
      <c r="L82" s="209">
        <f>'Aktuelle data'!M20</f>
        <v>39300.92</v>
      </c>
    </row>
    <row r="83" spans="3:12" ht="16">
      <c r="C83" s="299">
        <v>42</v>
      </c>
      <c r="D83" s="519">
        <f>'Aktuelle data'!I21</f>
        <v>39876.42</v>
      </c>
      <c r="E83" s="519"/>
      <c r="F83" s="519">
        <f>'Aktuelle data'!J21</f>
        <v>39876.42</v>
      </c>
      <c r="G83" s="519"/>
      <c r="H83" s="519">
        <f>'Aktuelle data'!K21</f>
        <v>39876.42</v>
      </c>
      <c r="I83" s="519"/>
      <c r="J83" s="436">
        <f>'Aktuelle data'!L21</f>
        <v>39876.42</v>
      </c>
      <c r="K83" s="436"/>
      <c r="L83" s="209">
        <f>'Aktuelle data'!M21</f>
        <v>39876.42</v>
      </c>
    </row>
    <row r="84" spans="3:12" ht="16">
      <c r="C84" s="299">
        <v>43</v>
      </c>
      <c r="D84" s="519">
        <f>'Aktuelle data'!I22</f>
        <v>40762.67</v>
      </c>
      <c r="E84" s="519"/>
      <c r="F84" s="519">
        <f>'Aktuelle data'!J22</f>
        <v>40762.67</v>
      </c>
      <c r="G84" s="519"/>
      <c r="H84" s="519">
        <f>'Aktuelle data'!K22</f>
        <v>40762.67</v>
      </c>
      <c r="I84" s="519"/>
      <c r="J84" s="436">
        <f>'Aktuelle data'!L22</f>
        <v>40762.67</v>
      </c>
      <c r="K84" s="436"/>
      <c r="L84" s="209">
        <f>'Aktuelle data'!M22</f>
        <v>40762.67</v>
      </c>
    </row>
    <row r="85" spans="3:12" ht="16">
      <c r="C85" s="299">
        <v>44</v>
      </c>
      <c r="D85" s="519">
        <f>'Aktuelle data'!I23</f>
        <v>41673.42</v>
      </c>
      <c r="E85" s="519"/>
      <c r="F85" s="519">
        <f>'Aktuelle data'!J23</f>
        <v>41673.42</v>
      </c>
      <c r="G85" s="519"/>
      <c r="H85" s="519">
        <f>'Aktuelle data'!K23</f>
        <v>41673.42</v>
      </c>
      <c r="I85" s="519"/>
      <c r="J85" s="436">
        <f>'Aktuelle data'!L23</f>
        <v>41673.42</v>
      </c>
      <c r="K85" s="436"/>
      <c r="L85" s="209">
        <f>'Aktuelle data'!M23</f>
        <v>41673.42</v>
      </c>
    </row>
    <row r="86" spans="3:12" ht="16">
      <c r="C86" s="299">
        <v>45</v>
      </c>
      <c r="D86" s="519">
        <f>'Aktuelle data'!I24</f>
        <v>42609.08</v>
      </c>
      <c r="E86" s="519"/>
      <c r="F86" s="519">
        <f>'Aktuelle data'!J24</f>
        <v>42609.08</v>
      </c>
      <c r="G86" s="519"/>
      <c r="H86" s="519">
        <f>'Aktuelle data'!K24</f>
        <v>42609.08</v>
      </c>
      <c r="I86" s="519"/>
      <c r="J86" s="436">
        <f>'Aktuelle data'!L24</f>
        <v>42609.08</v>
      </c>
      <c r="K86" s="436"/>
      <c r="L86" s="209">
        <f>'Aktuelle data'!M24</f>
        <v>42609.08</v>
      </c>
    </row>
    <row r="87" spans="3:12" ht="16">
      <c r="C87" s="299">
        <v>46</v>
      </c>
      <c r="D87" s="519">
        <f>'Aktuelle data'!I25</f>
        <v>43570.5</v>
      </c>
      <c r="E87" s="519"/>
      <c r="F87" s="519">
        <f>'Aktuelle data'!J25</f>
        <v>43570.5</v>
      </c>
      <c r="G87" s="519"/>
      <c r="H87" s="519">
        <f>'Aktuelle data'!K25</f>
        <v>43570.5</v>
      </c>
      <c r="I87" s="519"/>
      <c r="J87" s="436">
        <f>'Aktuelle data'!L25</f>
        <v>43570.5</v>
      </c>
      <c r="K87" s="436"/>
      <c r="L87" s="209">
        <f>'Aktuelle data'!M25</f>
        <v>43570.5</v>
      </c>
    </row>
    <row r="88" spans="3:12" ht="16">
      <c r="C88" s="299">
        <v>47</v>
      </c>
      <c r="D88" s="519">
        <f>'Aktuelle data'!I26</f>
        <v>44346.080000000002</v>
      </c>
      <c r="E88" s="519"/>
      <c r="F88" s="519">
        <f>'Aktuelle data'!J26</f>
        <v>44346.080000000002</v>
      </c>
      <c r="G88" s="519"/>
      <c r="H88" s="519">
        <f>'Aktuelle data'!K26</f>
        <v>44346.080000000002</v>
      </c>
      <c r="I88" s="519"/>
      <c r="J88" s="436">
        <f>'Aktuelle data'!L26</f>
        <v>44346.080000000002</v>
      </c>
      <c r="K88" s="436"/>
      <c r="L88" s="209">
        <f>'Aktuelle data'!M26</f>
        <v>44346.080000000002</v>
      </c>
    </row>
    <row r="89" spans="3:12" ht="16">
      <c r="C89" s="299">
        <v>48</v>
      </c>
      <c r="D89" s="519">
        <f>'Aktuelle data'!I27</f>
        <v>46384.58</v>
      </c>
      <c r="E89" s="519"/>
      <c r="F89" s="519">
        <f>'Aktuelle data'!J27</f>
        <v>46384.58</v>
      </c>
      <c r="G89" s="519"/>
      <c r="H89" s="519">
        <f>'Aktuelle data'!K27</f>
        <v>46384.58</v>
      </c>
      <c r="I89" s="519"/>
      <c r="J89" s="436">
        <f>'Aktuelle data'!L27</f>
        <v>46384.58</v>
      </c>
      <c r="K89" s="436"/>
      <c r="L89" s="209">
        <f>'Aktuelle data'!M27</f>
        <v>46384.58</v>
      </c>
    </row>
    <row r="90" spans="3:12" ht="16">
      <c r="C90" s="299">
        <v>49</v>
      </c>
      <c r="D90" s="519">
        <f>'Aktuelle data'!I28</f>
        <v>49497.42</v>
      </c>
      <c r="E90" s="519"/>
      <c r="F90" s="519">
        <f>'Aktuelle data'!J28</f>
        <v>49497.42</v>
      </c>
      <c r="G90" s="519"/>
      <c r="H90" s="519">
        <f>'Aktuelle data'!K28</f>
        <v>49497.42</v>
      </c>
      <c r="I90" s="519"/>
      <c r="J90" s="436">
        <f>'Aktuelle data'!L28</f>
        <v>49497.42</v>
      </c>
      <c r="K90" s="436"/>
      <c r="L90" s="209">
        <f>'Aktuelle data'!M28</f>
        <v>49497.42</v>
      </c>
    </row>
    <row r="91" spans="3:12" ht="16">
      <c r="C91" s="299">
        <v>50</v>
      </c>
      <c r="D91" s="519">
        <f>'Aktuelle data'!I29</f>
        <v>52952.75</v>
      </c>
      <c r="E91" s="519"/>
      <c r="F91" s="519">
        <f>'Aktuelle data'!J29</f>
        <v>52952.75</v>
      </c>
      <c r="G91" s="519"/>
      <c r="H91" s="519">
        <f>'Aktuelle data'!K29</f>
        <v>52952.75</v>
      </c>
      <c r="I91" s="519"/>
      <c r="J91" s="436">
        <f>'Aktuelle data'!L29</f>
        <v>52952.75</v>
      </c>
      <c r="K91" s="436"/>
      <c r="L91" s="209">
        <f>'Aktuelle data'!M29</f>
        <v>52952.75</v>
      </c>
    </row>
    <row r="92" spans="3:12" ht="16">
      <c r="C92" s="299">
        <v>51</v>
      </c>
      <c r="D92" s="519">
        <f>'Aktuelle data'!I30</f>
        <v>58490.17</v>
      </c>
      <c r="E92" s="519"/>
      <c r="F92" s="519">
        <f>'Aktuelle data'!J30</f>
        <v>58490.17</v>
      </c>
      <c r="G92" s="519"/>
      <c r="H92" s="519">
        <f>'Aktuelle data'!K30</f>
        <v>58490.17</v>
      </c>
      <c r="I92" s="519"/>
      <c r="J92" s="436">
        <f>'Aktuelle data'!L30</f>
        <v>58490.17</v>
      </c>
      <c r="K92" s="436"/>
      <c r="L92" s="209">
        <f>'Aktuelle data'!M30</f>
        <v>58490.17</v>
      </c>
    </row>
    <row r="93" spans="3:12" ht="16">
      <c r="C93" s="299">
        <v>52</v>
      </c>
      <c r="D93" s="519">
        <f>'Aktuelle data'!I31</f>
        <v>66554.5</v>
      </c>
      <c r="E93" s="519"/>
      <c r="F93" s="519">
        <f>'Aktuelle data'!J31</f>
        <v>66554.5</v>
      </c>
      <c r="G93" s="519"/>
      <c r="H93" s="519">
        <f>'Aktuelle data'!K31</f>
        <v>66554.5</v>
      </c>
      <c r="I93" s="519"/>
      <c r="J93" s="436">
        <f>'Aktuelle data'!L31</f>
        <v>66554.5</v>
      </c>
      <c r="K93" s="436"/>
      <c r="L93" s="209">
        <f>'Aktuelle data'!M31</f>
        <v>66554.5</v>
      </c>
    </row>
    <row r="94" spans="3:12" ht="16">
      <c r="C94" s="299">
        <v>53</v>
      </c>
      <c r="D94" s="519">
        <f>'Aktuelle data'!I32</f>
        <v>73074.33</v>
      </c>
      <c r="E94" s="519"/>
      <c r="F94" s="519">
        <f>'Aktuelle data'!J32</f>
        <v>73074.33</v>
      </c>
      <c r="G94" s="519"/>
      <c r="H94" s="519">
        <f>'Aktuelle data'!K32</f>
        <v>73074.33</v>
      </c>
      <c r="I94" s="519"/>
      <c r="J94" s="436">
        <f>'Aktuelle data'!L32</f>
        <v>73074.33</v>
      </c>
      <c r="K94" s="436"/>
      <c r="L94" s="209">
        <f>'Aktuelle data'!M32</f>
        <v>73074.33</v>
      </c>
    </row>
    <row r="95" spans="3:12" ht="16">
      <c r="C95" s="299">
        <v>54</v>
      </c>
      <c r="D95" s="519">
        <f>'Aktuelle data'!I33</f>
        <v>81766.33</v>
      </c>
      <c r="E95" s="519"/>
      <c r="F95" s="519">
        <f>'Aktuelle data'!J33</f>
        <v>81766.33</v>
      </c>
      <c r="G95" s="519"/>
      <c r="H95" s="519">
        <f>'Aktuelle data'!K33</f>
        <v>81766.33</v>
      </c>
      <c r="I95" s="519"/>
      <c r="J95" s="436">
        <f>'Aktuelle data'!L33</f>
        <v>81766.33</v>
      </c>
      <c r="K95" s="436"/>
      <c r="L95" s="209">
        <f>'Aktuelle data'!M33</f>
        <v>81766.33</v>
      </c>
    </row>
    <row r="96" spans="3:12" ht="16">
      <c r="C96" s="299">
        <v>55</v>
      </c>
      <c r="D96" s="519">
        <f>'Aktuelle data'!I34</f>
        <v>92214.17</v>
      </c>
      <c r="E96" s="519"/>
      <c r="F96" s="519">
        <f>'Aktuelle data'!J34</f>
        <v>92214.17</v>
      </c>
      <c r="G96" s="519"/>
      <c r="H96" s="519">
        <f>'Aktuelle data'!K34</f>
        <v>92214.17</v>
      </c>
      <c r="I96" s="519"/>
      <c r="J96" s="436">
        <f>'Aktuelle data'!L34</f>
        <v>92214.17</v>
      </c>
      <c r="K96" s="436"/>
      <c r="L96" s="209">
        <f>'Aktuelle data'!M34</f>
        <v>92214.17</v>
      </c>
    </row>
    <row r="97" spans="2:12" ht="17" thickBot="1">
      <c r="C97" s="300" t="s">
        <v>13</v>
      </c>
      <c r="D97" s="520">
        <f>'Aktuelle data'!I35</f>
        <v>103929.83</v>
      </c>
      <c r="E97" s="520"/>
      <c r="F97" s="520">
        <f>'Aktuelle data'!J35</f>
        <v>103929.83</v>
      </c>
      <c r="G97" s="520"/>
      <c r="H97" s="520">
        <f>'Aktuelle data'!K35</f>
        <v>103929.83</v>
      </c>
      <c r="I97" s="520"/>
      <c r="J97" s="517">
        <f>'Aktuelle data'!L35</f>
        <v>103929.83</v>
      </c>
      <c r="K97" s="517"/>
      <c r="L97" s="210">
        <f>'Aktuelle data'!M35</f>
        <v>103929.83</v>
      </c>
    </row>
    <row r="100" spans="2:12">
      <c r="B100" s="437" t="s">
        <v>188</v>
      </c>
      <c r="C100" s="437"/>
      <c r="D100" s="437"/>
      <c r="E100" s="437"/>
      <c r="F100" s="437"/>
      <c r="G100" s="437"/>
      <c r="H100" s="437"/>
      <c r="I100" s="437"/>
      <c r="J100" s="437"/>
      <c r="K100" s="23"/>
      <c r="L100" s="204">
        <f>1500*'Aktuelle data'!C37</f>
        <v>2480.067</v>
      </c>
    </row>
    <row r="101" spans="2:12">
      <c r="B101" s="437" t="s">
        <v>189</v>
      </c>
      <c r="C101" s="437"/>
      <c r="D101" s="437"/>
      <c r="E101" s="437"/>
      <c r="F101" s="437"/>
      <c r="G101" s="437"/>
      <c r="H101" s="437"/>
      <c r="I101" s="437"/>
      <c r="J101" s="437"/>
      <c r="K101" s="23"/>
      <c r="L101" s="204">
        <f>L100/12</f>
        <v>206.67224999999999</v>
      </c>
    </row>
    <row r="102" spans="2:12">
      <c r="B102" s="470" t="s">
        <v>190</v>
      </c>
      <c r="C102" s="470"/>
      <c r="D102" s="470"/>
      <c r="E102" s="470"/>
      <c r="F102" s="470"/>
      <c r="G102" s="470"/>
      <c r="H102" s="470"/>
      <c r="I102" s="470"/>
      <c r="J102" s="470"/>
    </row>
    <row r="131" spans="3:12" ht="24">
      <c r="C131" s="527" t="s">
        <v>193</v>
      </c>
      <c r="D131" s="527"/>
      <c r="E131" s="527"/>
      <c r="F131" s="527"/>
      <c r="G131" s="527"/>
      <c r="H131" s="527"/>
      <c r="I131" s="527"/>
      <c r="J131" s="527"/>
      <c r="K131" s="527"/>
      <c r="L131" s="527"/>
    </row>
    <row r="132" spans="3:12" ht="24">
      <c r="C132" s="527" t="s">
        <v>194</v>
      </c>
      <c r="D132" s="527"/>
      <c r="E132" s="527"/>
      <c r="F132" s="527"/>
      <c r="G132" s="527"/>
      <c r="H132" s="527"/>
      <c r="I132" s="527"/>
      <c r="J132" s="527"/>
      <c r="K132" s="527"/>
      <c r="L132" s="527"/>
    </row>
    <row r="133" spans="3:12" ht="14.5" customHeight="1" thickBot="1">
      <c r="C133" s="24"/>
      <c r="D133" s="24"/>
      <c r="E133" s="24"/>
      <c r="F133" s="24"/>
      <c r="G133" s="24"/>
      <c r="H133" s="24"/>
      <c r="I133" s="24"/>
      <c r="J133" s="24"/>
      <c r="K133" s="24"/>
    </row>
    <row r="134" spans="3:12" ht="16">
      <c r="C134" s="73" t="s">
        <v>192</v>
      </c>
      <c r="D134" s="74" t="s">
        <v>8</v>
      </c>
      <c r="E134" s="74"/>
      <c r="F134" s="74" t="s">
        <v>9</v>
      </c>
      <c r="G134" s="74"/>
      <c r="H134" s="74" t="s">
        <v>10</v>
      </c>
      <c r="I134" s="74"/>
      <c r="J134" s="518" t="s">
        <v>11</v>
      </c>
      <c r="K134" s="518"/>
      <c r="L134" s="75" t="s">
        <v>12</v>
      </c>
    </row>
    <row r="135" spans="3:12" ht="16">
      <c r="C135" s="71">
        <v>29</v>
      </c>
      <c r="D135" s="521">
        <f>'Aktuelle data'!P8</f>
        <v>382246</v>
      </c>
      <c r="E135" s="521"/>
      <c r="F135" s="521">
        <f>'Aktuelle data'!Q8</f>
        <v>386646</v>
      </c>
      <c r="G135" s="521"/>
      <c r="H135" s="521">
        <f>'Aktuelle data'!R8</f>
        <v>389690</v>
      </c>
      <c r="I135" s="521"/>
      <c r="J135" s="521">
        <f>'Aktuelle data'!S8</f>
        <v>394087</v>
      </c>
      <c r="K135" s="521"/>
      <c r="L135" s="211">
        <f>'Aktuelle data'!T8</f>
        <v>397133</v>
      </c>
    </row>
    <row r="136" spans="3:12" ht="16">
      <c r="C136" s="71">
        <v>30</v>
      </c>
      <c r="D136" s="521">
        <f>'Aktuelle data'!P9</f>
        <v>388651</v>
      </c>
      <c r="E136" s="521"/>
      <c r="F136" s="521">
        <f>'Aktuelle data'!Q9</f>
        <v>392816</v>
      </c>
      <c r="G136" s="521"/>
      <c r="H136" s="521">
        <f>'Aktuelle data'!R9</f>
        <v>395701</v>
      </c>
      <c r="I136" s="521"/>
      <c r="J136" s="521">
        <f>'Aktuelle data'!S9</f>
        <v>399864</v>
      </c>
      <c r="K136" s="521"/>
      <c r="L136" s="211">
        <f>'Aktuelle data'!T9</f>
        <v>402748</v>
      </c>
    </row>
    <row r="137" spans="3:12" ht="16">
      <c r="C137" s="71">
        <v>31</v>
      </c>
      <c r="D137" s="521">
        <f>'Aktuelle data'!P10</f>
        <v>395202</v>
      </c>
      <c r="E137" s="521"/>
      <c r="F137" s="521">
        <f>'Aktuelle data'!Q10</f>
        <v>399121</v>
      </c>
      <c r="G137" s="521"/>
      <c r="H137" s="521">
        <f>'Aktuelle data'!R10</f>
        <v>401832</v>
      </c>
      <c r="I137" s="521"/>
      <c r="J137" s="521">
        <f>'Aktuelle data'!S10</f>
        <v>405751</v>
      </c>
      <c r="K137" s="521"/>
      <c r="L137" s="211">
        <f>'Aktuelle data'!T10</f>
        <v>408462</v>
      </c>
    </row>
    <row r="138" spans="3:12" ht="16">
      <c r="C138" s="71">
        <v>32</v>
      </c>
      <c r="D138" s="521">
        <f>'Aktuelle data'!P11</f>
        <v>401898</v>
      </c>
      <c r="E138" s="521"/>
      <c r="F138" s="521">
        <f>'Aktuelle data'!Q11</f>
        <v>405552</v>
      </c>
      <c r="G138" s="521"/>
      <c r="H138" s="521">
        <f>'Aktuelle data'!R11</f>
        <v>408080</v>
      </c>
      <c r="I138" s="521"/>
      <c r="J138" s="521">
        <f>'Aktuelle data'!S11</f>
        <v>411736</v>
      </c>
      <c r="K138" s="521"/>
      <c r="L138" s="211">
        <f>'Aktuelle data'!T11</f>
        <v>414265</v>
      </c>
    </row>
    <row r="139" spans="3:12" ht="16">
      <c r="C139" s="71">
        <v>33</v>
      </c>
      <c r="D139" s="521">
        <f>'Aktuelle data'!P12</f>
        <v>408740</v>
      </c>
      <c r="E139" s="521"/>
      <c r="F139" s="521">
        <f>'Aktuelle data'!Q12</f>
        <v>412115</v>
      </c>
      <c r="G139" s="521"/>
      <c r="H139" s="521">
        <f>'Aktuelle data'!R12</f>
        <v>414451</v>
      </c>
      <c r="I139" s="521"/>
      <c r="J139" s="521">
        <f>'Aktuelle data'!S12</f>
        <v>417825</v>
      </c>
      <c r="K139" s="521"/>
      <c r="L139" s="211">
        <f>'Aktuelle data'!T12</f>
        <v>420160</v>
      </c>
    </row>
    <row r="140" spans="3:12" ht="16">
      <c r="C140" s="71">
        <v>34</v>
      </c>
      <c r="D140" s="521">
        <f>'Aktuelle data'!P13</f>
        <v>415740</v>
      </c>
      <c r="E140" s="521"/>
      <c r="F140" s="521">
        <f>'Aktuelle data'!Q13</f>
        <v>418819</v>
      </c>
      <c r="G140" s="521"/>
      <c r="H140" s="521">
        <f>'Aktuelle data'!R13</f>
        <v>420948</v>
      </c>
      <c r="I140" s="521"/>
      <c r="J140" s="521">
        <f>'Aktuelle data'!S13</f>
        <v>424027</v>
      </c>
      <c r="K140" s="521"/>
      <c r="L140" s="211">
        <f>'Aktuelle data'!T13</f>
        <v>426158</v>
      </c>
    </row>
    <row r="141" spans="3:12" ht="16">
      <c r="C141" s="71">
        <v>35</v>
      </c>
      <c r="D141" s="521">
        <f>'Aktuelle data'!P14</f>
        <v>422888</v>
      </c>
      <c r="E141" s="521"/>
      <c r="F141" s="521">
        <f>'Aktuelle data'!Q14</f>
        <v>425652</v>
      </c>
      <c r="G141" s="521"/>
      <c r="H141" s="521">
        <f>'Aktuelle data'!R14</f>
        <v>427565</v>
      </c>
      <c r="I141" s="521"/>
      <c r="J141" s="521">
        <f>'Aktuelle data'!S14</f>
        <v>430328</v>
      </c>
      <c r="K141" s="521"/>
      <c r="L141" s="211">
        <f>'Aktuelle data'!T14</f>
        <v>432243</v>
      </c>
    </row>
    <row r="142" spans="3:12" ht="16">
      <c r="C142" s="71">
        <v>36</v>
      </c>
      <c r="D142" s="521">
        <f>'Aktuelle data'!P15</f>
        <v>430199</v>
      </c>
      <c r="E142" s="521"/>
      <c r="F142" s="521">
        <f>'Aktuelle data'!Q15</f>
        <v>432631</v>
      </c>
      <c r="G142" s="521"/>
      <c r="H142" s="521">
        <f>'Aktuelle data'!R15</f>
        <v>434313</v>
      </c>
      <c r="I142" s="521"/>
      <c r="J142" s="521">
        <f>'Aktuelle data'!S15</f>
        <v>436743</v>
      </c>
      <c r="K142" s="521"/>
      <c r="L142" s="211">
        <f>'Aktuelle data'!T15</f>
        <v>438426</v>
      </c>
    </row>
    <row r="143" spans="3:12" ht="16">
      <c r="C143" s="71">
        <v>37</v>
      </c>
      <c r="D143" s="521">
        <f>'Aktuelle data'!P16</f>
        <v>437669</v>
      </c>
      <c r="E143" s="521"/>
      <c r="F143" s="521">
        <f>'Aktuelle data'!Q16</f>
        <v>439747</v>
      </c>
      <c r="G143" s="521"/>
      <c r="H143" s="521">
        <f>'Aktuelle data'!R16</f>
        <v>441187</v>
      </c>
      <c r="I143" s="521"/>
      <c r="J143" s="521">
        <f>'Aktuelle data'!S16</f>
        <v>443266</v>
      </c>
      <c r="K143" s="521"/>
      <c r="L143" s="211">
        <f>'Aktuelle data'!T16</f>
        <v>444704</v>
      </c>
    </row>
    <row r="144" spans="3:12" ht="16">
      <c r="C144" s="71">
        <v>38</v>
      </c>
      <c r="D144" s="521">
        <f>'Aktuelle data'!P17</f>
        <v>445599</v>
      </c>
      <c r="E144" s="521"/>
      <c r="F144" s="521">
        <f>'Aktuelle data'!Q17</f>
        <v>447338</v>
      </c>
      <c r="G144" s="521"/>
      <c r="H144" s="521">
        <f>'Aktuelle data'!R17</f>
        <v>448544</v>
      </c>
      <c r="I144" s="521"/>
      <c r="J144" s="521">
        <f>'Aktuelle data'!S17</f>
        <v>450283</v>
      </c>
      <c r="K144" s="521"/>
      <c r="L144" s="211">
        <f>'Aktuelle data'!T17</f>
        <v>451490</v>
      </c>
    </row>
    <row r="145" spans="3:12" ht="16">
      <c r="C145" s="71">
        <v>39</v>
      </c>
      <c r="D145" s="521">
        <f>'Aktuelle data'!P18</f>
        <v>453560</v>
      </c>
      <c r="E145" s="521"/>
      <c r="F145" s="521">
        <f>'Aktuelle data'!Q18</f>
        <v>454899</v>
      </c>
      <c r="G145" s="521"/>
      <c r="H145" s="521">
        <f>'Aktuelle data'!R18</f>
        <v>455827</v>
      </c>
      <c r="I145" s="521"/>
      <c r="J145" s="521">
        <f>'Aktuelle data'!S18</f>
        <v>457166</v>
      </c>
      <c r="K145" s="521"/>
      <c r="L145" s="211">
        <f>'Aktuelle data'!T18</f>
        <v>458095</v>
      </c>
    </row>
    <row r="146" spans="3:12" ht="16">
      <c r="C146" s="71">
        <v>40</v>
      </c>
      <c r="D146" s="521">
        <f>'Aktuelle data'!P19</f>
        <v>461701</v>
      </c>
      <c r="E146" s="521"/>
      <c r="F146" s="521">
        <f>'Aktuelle data'!Q19</f>
        <v>462617</v>
      </c>
      <c r="G146" s="521"/>
      <c r="H146" s="521">
        <f>'Aktuelle data'!R19</f>
        <v>463252</v>
      </c>
      <c r="I146" s="521"/>
      <c r="J146" s="521">
        <f>'Aktuelle data'!S19</f>
        <v>464169</v>
      </c>
      <c r="K146" s="521"/>
      <c r="L146" s="211">
        <f>'Aktuelle data'!T19</f>
        <v>464804</v>
      </c>
    </row>
    <row r="147" spans="3:12" ht="16">
      <c r="C147" s="71">
        <v>41</v>
      </c>
      <c r="D147" s="521">
        <f>'Aktuelle data'!P20</f>
        <v>470019</v>
      </c>
      <c r="E147" s="521"/>
      <c r="F147" s="521">
        <f>'Aktuelle data'!Q20</f>
        <v>470489</v>
      </c>
      <c r="G147" s="521"/>
      <c r="H147" s="521">
        <f>'Aktuelle data'!R20</f>
        <v>470816</v>
      </c>
      <c r="I147" s="521"/>
      <c r="J147" s="521">
        <f>'Aktuelle data'!S20</f>
        <v>471284</v>
      </c>
      <c r="K147" s="521"/>
      <c r="L147" s="211">
        <f>'Aktuelle data'!T20</f>
        <v>471611</v>
      </c>
    </row>
    <row r="148" spans="3:12" ht="16">
      <c r="C148" s="71">
        <v>42</v>
      </c>
      <c r="D148" s="521">
        <f>'Aktuelle data'!P21</f>
        <v>478517</v>
      </c>
      <c r="E148" s="521"/>
      <c r="F148" s="521">
        <f>'Aktuelle data'!Q21</f>
        <v>478517</v>
      </c>
      <c r="G148" s="521"/>
      <c r="H148" s="521">
        <f>'Aktuelle data'!R21</f>
        <v>478517</v>
      </c>
      <c r="I148" s="521"/>
      <c r="J148" s="521">
        <f>'Aktuelle data'!S21</f>
        <v>478517</v>
      </c>
      <c r="K148" s="521"/>
      <c r="L148" s="211">
        <f>'Aktuelle data'!T21</f>
        <v>478517</v>
      </c>
    </row>
    <row r="149" spans="3:12" ht="16">
      <c r="C149" s="71">
        <v>43</v>
      </c>
      <c r="D149" s="521">
        <f>'Aktuelle data'!P22</f>
        <v>489152</v>
      </c>
      <c r="E149" s="521"/>
      <c r="F149" s="521">
        <f>'Aktuelle data'!Q22</f>
        <v>489152</v>
      </c>
      <c r="G149" s="521"/>
      <c r="H149" s="521">
        <f>'Aktuelle data'!R22</f>
        <v>489152</v>
      </c>
      <c r="I149" s="521"/>
      <c r="J149" s="521">
        <f>'Aktuelle data'!S22</f>
        <v>489152</v>
      </c>
      <c r="K149" s="521"/>
      <c r="L149" s="211">
        <f>'Aktuelle data'!T22</f>
        <v>489152</v>
      </c>
    </row>
    <row r="150" spans="3:12" ht="16">
      <c r="C150" s="71">
        <v>44</v>
      </c>
      <c r="D150" s="521">
        <f>'Aktuelle data'!P23</f>
        <v>500081</v>
      </c>
      <c r="E150" s="521"/>
      <c r="F150" s="521">
        <f>'Aktuelle data'!Q23</f>
        <v>500081</v>
      </c>
      <c r="G150" s="521"/>
      <c r="H150" s="521">
        <f>'Aktuelle data'!R23</f>
        <v>500081</v>
      </c>
      <c r="I150" s="521"/>
      <c r="J150" s="521">
        <f>'Aktuelle data'!S23</f>
        <v>500081</v>
      </c>
      <c r="K150" s="521"/>
      <c r="L150" s="211">
        <f>'Aktuelle data'!T23</f>
        <v>500081</v>
      </c>
    </row>
    <row r="151" spans="3:12" ht="16">
      <c r="C151" s="71">
        <v>45</v>
      </c>
      <c r="D151" s="521">
        <f>'Aktuelle data'!P24</f>
        <v>511309</v>
      </c>
      <c r="E151" s="521"/>
      <c r="F151" s="521">
        <f>'Aktuelle data'!Q24</f>
        <v>511309</v>
      </c>
      <c r="G151" s="521"/>
      <c r="H151" s="521">
        <f>'Aktuelle data'!R24</f>
        <v>511309</v>
      </c>
      <c r="I151" s="521"/>
      <c r="J151" s="521">
        <f>'Aktuelle data'!S24</f>
        <v>511309</v>
      </c>
      <c r="K151" s="521"/>
      <c r="L151" s="211">
        <f>'Aktuelle data'!T24</f>
        <v>511309</v>
      </c>
    </row>
    <row r="152" spans="3:12" ht="16">
      <c r="C152" s="71">
        <v>46</v>
      </c>
      <c r="D152" s="521">
        <f>'Aktuelle data'!P25</f>
        <v>522846</v>
      </c>
      <c r="E152" s="521"/>
      <c r="F152" s="521">
        <f>'Aktuelle data'!Q25</f>
        <v>522846</v>
      </c>
      <c r="G152" s="521"/>
      <c r="H152" s="521">
        <f>'Aktuelle data'!R25</f>
        <v>522846</v>
      </c>
      <c r="I152" s="521"/>
      <c r="J152" s="521">
        <f>'Aktuelle data'!S25</f>
        <v>522846</v>
      </c>
      <c r="K152" s="521"/>
      <c r="L152" s="211">
        <f>'Aktuelle data'!T25</f>
        <v>522846</v>
      </c>
    </row>
    <row r="153" spans="3:12" ht="16">
      <c r="C153" s="71">
        <v>47</v>
      </c>
      <c r="D153" s="521">
        <f>'Aktuelle data'!P26</f>
        <v>532153</v>
      </c>
      <c r="E153" s="521"/>
      <c r="F153" s="521">
        <f>'Aktuelle data'!Q26</f>
        <v>532153</v>
      </c>
      <c r="G153" s="521"/>
      <c r="H153" s="521">
        <f>'Aktuelle data'!R26</f>
        <v>532153</v>
      </c>
      <c r="I153" s="521"/>
      <c r="J153" s="521">
        <f>'Aktuelle data'!S26</f>
        <v>532153</v>
      </c>
      <c r="K153" s="521"/>
      <c r="L153" s="211">
        <f>'Aktuelle data'!T26</f>
        <v>532153</v>
      </c>
    </row>
    <row r="154" spans="3:12" ht="16">
      <c r="C154" s="71">
        <v>48</v>
      </c>
      <c r="D154" s="521">
        <f>'Aktuelle data'!P27</f>
        <v>556615</v>
      </c>
      <c r="E154" s="521"/>
      <c r="F154" s="521">
        <f>'Aktuelle data'!Q27</f>
        <v>556615</v>
      </c>
      <c r="G154" s="521"/>
      <c r="H154" s="521">
        <f>'Aktuelle data'!R27</f>
        <v>556615</v>
      </c>
      <c r="I154" s="521"/>
      <c r="J154" s="521">
        <f>'Aktuelle data'!S27</f>
        <v>556615</v>
      </c>
      <c r="K154" s="521"/>
      <c r="L154" s="211">
        <f>'Aktuelle data'!T27</f>
        <v>556615</v>
      </c>
    </row>
    <row r="155" spans="3:12" ht="16">
      <c r="C155" s="71">
        <v>49</v>
      </c>
      <c r="D155" s="521">
        <f>'Aktuelle data'!P28</f>
        <v>593969</v>
      </c>
      <c r="E155" s="521"/>
      <c r="F155" s="521">
        <f>'Aktuelle data'!Q28</f>
        <v>593969</v>
      </c>
      <c r="G155" s="521"/>
      <c r="H155" s="521">
        <f>'Aktuelle data'!R28</f>
        <v>593969</v>
      </c>
      <c r="I155" s="521"/>
      <c r="J155" s="521">
        <f>'Aktuelle data'!S28</f>
        <v>593969</v>
      </c>
      <c r="K155" s="521"/>
      <c r="L155" s="211">
        <f>'Aktuelle data'!T28</f>
        <v>593969</v>
      </c>
    </row>
    <row r="156" spans="3:12" ht="16">
      <c r="C156" s="71">
        <v>50</v>
      </c>
      <c r="D156" s="521">
        <f>'Aktuelle data'!P29</f>
        <v>650421</v>
      </c>
      <c r="E156" s="521"/>
      <c r="F156" s="521">
        <f>'Aktuelle data'!Q29</f>
        <v>650421</v>
      </c>
      <c r="G156" s="521"/>
      <c r="H156" s="521">
        <f>'Aktuelle data'!R29</f>
        <v>650421</v>
      </c>
      <c r="I156" s="521"/>
      <c r="J156" s="521">
        <f>'Aktuelle data'!S29</f>
        <v>650421</v>
      </c>
      <c r="K156" s="521"/>
      <c r="L156" s="211">
        <f>'Aktuelle data'!T29</f>
        <v>650421</v>
      </c>
    </row>
    <row r="157" spans="3:12" ht="16">
      <c r="C157" s="71">
        <v>51</v>
      </c>
      <c r="D157" s="521">
        <f>'Aktuelle data'!P30</f>
        <v>720775</v>
      </c>
      <c r="E157" s="521"/>
      <c r="F157" s="521">
        <f>'Aktuelle data'!Q30</f>
        <v>720775</v>
      </c>
      <c r="G157" s="521"/>
      <c r="H157" s="521">
        <f>'Aktuelle data'!R30</f>
        <v>720775</v>
      </c>
      <c r="I157" s="521"/>
      <c r="J157" s="521">
        <f>'Aktuelle data'!S30</f>
        <v>720775</v>
      </c>
      <c r="K157" s="521"/>
      <c r="L157" s="211">
        <f>'Aktuelle data'!T30</f>
        <v>720775</v>
      </c>
    </row>
    <row r="158" spans="3:12" ht="16">
      <c r="C158" s="71">
        <v>52</v>
      </c>
      <c r="D158" s="521">
        <f>'Aktuelle data'!P31</f>
        <v>820887</v>
      </c>
      <c r="E158" s="521"/>
      <c r="F158" s="521">
        <f>'Aktuelle data'!Q31</f>
        <v>820887</v>
      </c>
      <c r="G158" s="521"/>
      <c r="H158" s="521">
        <f>'Aktuelle data'!R31</f>
        <v>820887</v>
      </c>
      <c r="I158" s="521"/>
      <c r="J158" s="521">
        <f>'Aktuelle data'!S31</f>
        <v>820887</v>
      </c>
      <c r="K158" s="521"/>
      <c r="L158" s="211">
        <f>'Aktuelle data'!T31</f>
        <v>820887</v>
      </c>
    </row>
    <row r="159" spans="3:12" ht="16">
      <c r="C159" s="71">
        <v>53</v>
      </c>
      <c r="D159" s="521">
        <f>'Aktuelle data'!P32</f>
        <v>913784</v>
      </c>
      <c r="E159" s="521"/>
      <c r="F159" s="521">
        <f>'Aktuelle data'!Q32</f>
        <v>913784</v>
      </c>
      <c r="G159" s="521"/>
      <c r="H159" s="521">
        <f>'Aktuelle data'!R32</f>
        <v>913784</v>
      </c>
      <c r="I159" s="521"/>
      <c r="J159" s="521">
        <f>'Aktuelle data'!S32</f>
        <v>913784</v>
      </c>
      <c r="K159" s="521"/>
      <c r="L159" s="211">
        <f>'Aktuelle data'!T32</f>
        <v>913784</v>
      </c>
    </row>
    <row r="160" spans="3:12" ht="16">
      <c r="C160" s="71">
        <v>54</v>
      </c>
      <c r="D160" s="521">
        <f>'Aktuelle data'!P33</f>
        <v>1029565</v>
      </c>
      <c r="E160" s="521"/>
      <c r="F160" s="521">
        <f>'Aktuelle data'!Q33</f>
        <v>1029565</v>
      </c>
      <c r="G160" s="521"/>
      <c r="H160" s="521">
        <f>'Aktuelle data'!R33</f>
        <v>1029565</v>
      </c>
      <c r="I160" s="521"/>
      <c r="J160" s="521">
        <f>'Aktuelle data'!S33</f>
        <v>1029565</v>
      </c>
      <c r="K160" s="521"/>
      <c r="L160" s="211">
        <f>'Aktuelle data'!T33</f>
        <v>1029565</v>
      </c>
    </row>
    <row r="161" spans="2:12" ht="16">
      <c r="C161" s="71">
        <v>55</v>
      </c>
      <c r="D161" s="521">
        <f>'Aktuelle data'!P34</f>
        <v>1154939</v>
      </c>
      <c r="E161" s="521"/>
      <c r="F161" s="521">
        <f>'Aktuelle data'!Q34</f>
        <v>1154939</v>
      </c>
      <c r="G161" s="521"/>
      <c r="H161" s="521">
        <f>'Aktuelle data'!R34</f>
        <v>1154939</v>
      </c>
      <c r="I161" s="521"/>
      <c r="J161" s="521">
        <f>'Aktuelle data'!S34</f>
        <v>1154939</v>
      </c>
      <c r="K161" s="521"/>
      <c r="L161" s="211">
        <f>'Aktuelle data'!T34</f>
        <v>1154939</v>
      </c>
    </row>
    <row r="162" spans="2:12" ht="17" thickBot="1">
      <c r="C162" s="72" t="s">
        <v>13</v>
      </c>
      <c r="D162" s="522">
        <f>'Aktuelle data'!P35</f>
        <v>1295531</v>
      </c>
      <c r="E162" s="522"/>
      <c r="F162" s="522">
        <f>'Aktuelle data'!Q35</f>
        <v>1295531</v>
      </c>
      <c r="G162" s="522"/>
      <c r="H162" s="522">
        <f>'Aktuelle data'!R35</f>
        <v>1295531</v>
      </c>
      <c r="I162" s="522"/>
      <c r="J162" s="522">
        <f>'Aktuelle data'!S35</f>
        <v>1295531</v>
      </c>
      <c r="K162" s="522"/>
      <c r="L162" s="212">
        <f>'Aktuelle data'!T35</f>
        <v>1295531</v>
      </c>
    </row>
    <row r="165" spans="2:12">
      <c r="B165" s="437" t="s">
        <v>188</v>
      </c>
      <c r="C165" s="437"/>
      <c r="D165" s="437"/>
      <c r="E165" s="437"/>
      <c r="F165" s="437"/>
      <c r="G165" s="437"/>
      <c r="H165" s="437"/>
      <c r="I165" s="437"/>
      <c r="J165" s="437"/>
      <c r="K165" s="23"/>
      <c r="L165" s="204">
        <f>'Aktuelle data'!B44*'Aktuelle data'!C37</f>
        <v>2480.067</v>
      </c>
    </row>
    <row r="166" spans="2:12">
      <c r="B166" s="437" t="s">
        <v>189</v>
      </c>
      <c r="C166" s="437"/>
      <c r="D166" s="437"/>
      <c r="E166" s="437"/>
      <c r="F166" s="437"/>
      <c r="G166" s="437"/>
      <c r="H166" s="437"/>
      <c r="I166" s="437"/>
      <c r="J166" s="437"/>
      <c r="K166" s="23"/>
      <c r="L166" s="204">
        <f>L165/12</f>
        <v>206.67224999999999</v>
      </c>
    </row>
    <row r="167" spans="2:12">
      <c r="B167" s="470" t="s">
        <v>190</v>
      </c>
      <c r="C167" s="470"/>
      <c r="D167" s="470"/>
      <c r="E167" s="470"/>
      <c r="F167" s="470"/>
      <c r="G167" s="470"/>
      <c r="H167" s="470"/>
      <c r="I167" s="470"/>
      <c r="J167" s="470"/>
    </row>
    <row r="197" spans="2:13" ht="34">
      <c r="B197" s="471" t="s">
        <v>195</v>
      </c>
      <c r="C197" s="471"/>
      <c r="D197" s="471"/>
      <c r="E197" s="471"/>
      <c r="F197" s="471"/>
      <c r="G197" s="471"/>
      <c r="H197" s="471"/>
      <c r="I197" s="471"/>
      <c r="J197" s="471"/>
      <c r="K197" s="471"/>
      <c r="L197" s="471"/>
    </row>
    <row r="198" spans="2:13" ht="15.5" customHeight="1" thickBot="1">
      <c r="B198" s="22"/>
      <c r="C198" s="22"/>
      <c r="D198" s="22"/>
      <c r="E198" s="22"/>
      <c r="F198" s="22"/>
      <c r="G198" s="22"/>
      <c r="H198" s="22"/>
      <c r="I198" s="22"/>
      <c r="J198" s="22"/>
      <c r="K198" s="22"/>
      <c r="L198" s="22"/>
    </row>
    <row r="199" spans="2:13" ht="22.75" customHeight="1">
      <c r="B199" s="426" t="s">
        <v>196</v>
      </c>
      <c r="C199" s="428"/>
      <c r="E199" s="418" t="s">
        <v>199</v>
      </c>
      <c r="F199" s="419"/>
      <c r="G199" s="419"/>
      <c r="H199" s="420"/>
      <c r="K199" s="396" t="s">
        <v>198</v>
      </c>
      <c r="L199" s="431"/>
      <c r="M199" s="76"/>
    </row>
    <row r="200" spans="2:13">
      <c r="B200" s="25" t="s">
        <v>35</v>
      </c>
      <c r="C200" s="26">
        <v>4</v>
      </c>
      <c r="E200" s="421" t="s">
        <v>114</v>
      </c>
      <c r="F200" s="422"/>
      <c r="G200" s="423"/>
      <c r="H200" s="26">
        <v>0</v>
      </c>
      <c r="K200" s="388" t="s">
        <v>92</v>
      </c>
      <c r="L200" s="389"/>
      <c r="M200" s="27">
        <v>0</v>
      </c>
    </row>
    <row r="201" spans="2:13">
      <c r="B201" s="25" t="s">
        <v>36</v>
      </c>
      <c r="C201" s="26">
        <v>3</v>
      </c>
      <c r="E201" s="388" t="s">
        <v>115</v>
      </c>
      <c r="F201" s="392"/>
      <c r="G201" s="389"/>
      <c r="H201" s="26">
        <v>0</v>
      </c>
      <c r="K201" s="388" t="s">
        <v>93</v>
      </c>
      <c r="L201" s="389"/>
      <c r="M201" s="27">
        <v>0</v>
      </c>
    </row>
    <row r="202" spans="2:13">
      <c r="B202" s="25" t="s">
        <v>37</v>
      </c>
      <c r="C202" s="26">
        <v>4</v>
      </c>
      <c r="E202" s="388" t="s">
        <v>116</v>
      </c>
      <c r="F202" s="392"/>
      <c r="G202" s="389"/>
      <c r="H202" s="26">
        <v>0</v>
      </c>
      <c r="K202" s="390" t="s">
        <v>95</v>
      </c>
      <c r="L202" s="391"/>
      <c r="M202" s="27">
        <v>1</v>
      </c>
    </row>
    <row r="203" spans="2:13">
      <c r="B203" s="25" t="s">
        <v>38</v>
      </c>
      <c r="C203" s="26">
        <v>0</v>
      </c>
      <c r="E203" s="388" t="s">
        <v>117</v>
      </c>
      <c r="F203" s="392"/>
      <c r="G203" s="389"/>
      <c r="H203" s="47">
        <v>0</v>
      </c>
      <c r="K203" s="390" t="s">
        <v>96</v>
      </c>
      <c r="L203" s="391"/>
      <c r="M203" s="27">
        <v>0</v>
      </c>
    </row>
    <row r="204" spans="2:13">
      <c r="B204" s="25" t="s">
        <v>39</v>
      </c>
      <c r="C204" s="26">
        <v>4</v>
      </c>
      <c r="E204" s="388" t="s">
        <v>118</v>
      </c>
      <c r="F204" s="392"/>
      <c r="G204" s="389"/>
      <c r="H204" s="26">
        <v>0</v>
      </c>
      <c r="K204" s="388" t="s">
        <v>97</v>
      </c>
      <c r="L204" s="389"/>
      <c r="M204" s="27">
        <v>0</v>
      </c>
    </row>
    <row r="205" spans="2:13" ht="15" customHeight="1">
      <c r="B205" s="25" t="s">
        <v>40</v>
      </c>
      <c r="C205" s="26">
        <v>4</v>
      </c>
      <c r="E205" s="388" t="s">
        <v>119</v>
      </c>
      <c r="F205" s="392"/>
      <c r="G205" s="389"/>
      <c r="H205" s="26">
        <v>0</v>
      </c>
      <c r="K205" s="388" t="s">
        <v>98</v>
      </c>
      <c r="L205" s="389"/>
      <c r="M205" s="27">
        <v>1</v>
      </c>
    </row>
    <row r="206" spans="2:13" ht="15" customHeight="1">
      <c r="B206" s="25" t="s">
        <v>41</v>
      </c>
      <c r="C206" s="26">
        <v>4</v>
      </c>
      <c r="E206" s="388" t="s">
        <v>120</v>
      </c>
      <c r="F206" s="392"/>
      <c r="G206" s="389"/>
      <c r="H206" s="26">
        <v>0</v>
      </c>
      <c r="K206" s="432" t="s">
        <v>99</v>
      </c>
      <c r="L206" s="433"/>
      <c r="M206" s="27">
        <v>0</v>
      </c>
    </row>
    <row r="207" spans="2:13" ht="15" customHeight="1">
      <c r="B207" s="25" t="s">
        <v>42</v>
      </c>
      <c r="C207" s="26">
        <v>3</v>
      </c>
      <c r="E207" s="388" t="s">
        <v>121</v>
      </c>
      <c r="F207" s="392"/>
      <c r="G207" s="389"/>
      <c r="H207" s="26">
        <v>0</v>
      </c>
      <c r="K207" s="388" t="s">
        <v>100</v>
      </c>
      <c r="L207" s="389"/>
      <c r="M207" s="27">
        <v>1</v>
      </c>
    </row>
    <row r="208" spans="2:13" ht="15" customHeight="1">
      <c r="B208" s="25" t="s">
        <v>43</v>
      </c>
      <c r="C208" s="26">
        <v>4</v>
      </c>
      <c r="E208" s="388" t="s">
        <v>122</v>
      </c>
      <c r="F208" s="392"/>
      <c r="G208" s="389"/>
      <c r="H208" s="26">
        <v>0</v>
      </c>
      <c r="K208" s="388" t="s">
        <v>101</v>
      </c>
      <c r="L208" s="389"/>
      <c r="M208" s="27">
        <v>0</v>
      </c>
    </row>
    <row r="209" spans="2:14" ht="15" customHeight="1">
      <c r="B209" s="25" t="s">
        <v>44</v>
      </c>
      <c r="C209" s="26">
        <v>3</v>
      </c>
      <c r="E209" s="388" t="s">
        <v>123</v>
      </c>
      <c r="F209" s="392"/>
      <c r="G209" s="389"/>
      <c r="H209" s="26">
        <v>0</v>
      </c>
      <c r="K209" s="388" t="s">
        <v>102</v>
      </c>
      <c r="L209" s="389"/>
      <c r="M209" s="27">
        <v>0</v>
      </c>
    </row>
    <row r="210" spans="2:14" ht="15" customHeight="1">
      <c r="B210" s="25" t="s">
        <v>46</v>
      </c>
      <c r="C210" s="26">
        <v>4</v>
      </c>
      <c r="E210" s="388" t="s">
        <v>124</v>
      </c>
      <c r="F210" s="392"/>
      <c r="G210" s="389"/>
      <c r="H210" s="26">
        <v>0</v>
      </c>
      <c r="K210" s="388" t="s">
        <v>103</v>
      </c>
      <c r="L210" s="389"/>
      <c r="M210" s="27">
        <v>0</v>
      </c>
    </row>
    <row r="211" spans="2:14" ht="15" customHeight="1">
      <c r="B211" s="25" t="s">
        <v>47</v>
      </c>
      <c r="C211" s="26">
        <v>4</v>
      </c>
      <c r="E211" s="388" t="s">
        <v>125</v>
      </c>
      <c r="F211" s="392"/>
      <c r="G211" s="389"/>
      <c r="H211" s="26">
        <v>0</v>
      </c>
      <c r="K211" s="429" t="s">
        <v>280</v>
      </c>
      <c r="L211" s="430"/>
      <c r="M211" s="27">
        <v>0</v>
      </c>
    </row>
    <row r="212" spans="2:14" ht="14.5" customHeight="1">
      <c r="B212" s="25" t="s">
        <v>48</v>
      </c>
      <c r="C212" s="26">
        <v>4</v>
      </c>
      <c r="E212" s="388" t="s">
        <v>126</v>
      </c>
      <c r="F212" s="392"/>
      <c r="G212" s="389"/>
      <c r="H212" s="26">
        <v>0</v>
      </c>
      <c r="K212" s="388" t="s">
        <v>104</v>
      </c>
      <c r="L212" s="389"/>
      <c r="M212" s="27">
        <v>1</v>
      </c>
    </row>
    <row r="213" spans="2:14" ht="14.5" customHeight="1">
      <c r="B213" s="25" t="s">
        <v>49</v>
      </c>
      <c r="C213" s="26">
        <v>4</v>
      </c>
      <c r="E213" s="388" t="s">
        <v>127</v>
      </c>
      <c r="F213" s="392"/>
      <c r="G213" s="389"/>
      <c r="H213" s="26">
        <v>1</v>
      </c>
      <c r="K213" s="388" t="s">
        <v>105</v>
      </c>
      <c r="L213" s="389"/>
      <c r="M213" s="27">
        <v>1</v>
      </c>
    </row>
    <row r="214" spans="2:14" ht="14.5" customHeight="1">
      <c r="B214" s="25" t="s">
        <v>51</v>
      </c>
      <c r="C214" s="26">
        <v>3</v>
      </c>
      <c r="E214" s="388" t="s">
        <v>128</v>
      </c>
      <c r="F214" s="392"/>
      <c r="G214" s="389"/>
      <c r="H214" s="26">
        <v>0</v>
      </c>
      <c r="K214" s="388" t="s">
        <v>106</v>
      </c>
      <c r="L214" s="389"/>
      <c r="M214" s="27">
        <v>0</v>
      </c>
    </row>
    <row r="215" spans="2:14" ht="14.5" customHeight="1">
      <c r="B215" s="25" t="s">
        <v>45</v>
      </c>
      <c r="C215" s="26">
        <v>3</v>
      </c>
      <c r="E215" s="388" t="s">
        <v>129</v>
      </c>
      <c r="F215" s="392"/>
      <c r="G215" s="389"/>
      <c r="H215" s="26">
        <v>0</v>
      </c>
      <c r="K215" s="388" t="s">
        <v>107</v>
      </c>
      <c r="L215" s="389"/>
      <c r="M215" s="27">
        <v>1</v>
      </c>
    </row>
    <row r="216" spans="2:14" ht="14.5" customHeight="1">
      <c r="B216" s="25" t="s">
        <v>52</v>
      </c>
      <c r="C216" s="26">
        <v>3</v>
      </c>
      <c r="D216" s="213"/>
      <c r="E216" s="388" t="s">
        <v>130</v>
      </c>
      <c r="F216" s="392"/>
      <c r="G216" s="389"/>
      <c r="H216" s="26">
        <v>0</v>
      </c>
      <c r="K216" s="388" t="s">
        <v>108</v>
      </c>
      <c r="L216" s="389"/>
      <c r="M216" s="27">
        <v>0</v>
      </c>
    </row>
    <row r="217" spans="2:14" ht="14.5" customHeight="1">
      <c r="B217" s="25" t="s">
        <v>53</v>
      </c>
      <c r="C217" s="26">
        <v>4</v>
      </c>
      <c r="E217" s="388" t="s">
        <v>131</v>
      </c>
      <c r="F217" s="392"/>
      <c r="G217" s="389"/>
      <c r="H217" s="26">
        <v>0</v>
      </c>
      <c r="K217" s="388" t="s">
        <v>109</v>
      </c>
      <c r="L217" s="389"/>
      <c r="M217" s="27">
        <v>0</v>
      </c>
    </row>
    <row r="218" spans="2:14" ht="16" customHeight="1" thickBot="1">
      <c r="B218" s="25" t="s">
        <v>54</v>
      </c>
      <c r="C218" s="26">
        <v>3</v>
      </c>
      <c r="E218" s="442" t="s">
        <v>132</v>
      </c>
      <c r="F218" s="443"/>
      <c r="G218" s="444"/>
      <c r="H218" s="28">
        <v>2</v>
      </c>
      <c r="K218" s="388" t="s">
        <v>110</v>
      </c>
      <c r="L218" s="389"/>
      <c r="M218" s="27">
        <v>0</v>
      </c>
    </row>
    <row r="219" spans="2:14" ht="16" customHeight="1" thickBot="1">
      <c r="B219" s="25" t="s">
        <v>55</v>
      </c>
      <c r="C219" s="26">
        <v>4</v>
      </c>
      <c r="K219" s="388" t="s">
        <v>111</v>
      </c>
      <c r="L219" s="389"/>
      <c r="M219" s="27">
        <v>0</v>
      </c>
    </row>
    <row r="220" spans="2:14" ht="15" customHeight="1">
      <c r="B220" s="25" t="s">
        <v>56</v>
      </c>
      <c r="C220" s="26">
        <v>4</v>
      </c>
      <c r="E220" s="426" t="s">
        <v>197</v>
      </c>
      <c r="F220" s="427"/>
      <c r="G220" s="427"/>
      <c r="H220" s="428"/>
      <c r="K220" s="388" t="s">
        <v>112</v>
      </c>
      <c r="L220" s="389"/>
      <c r="M220" s="27">
        <v>0</v>
      </c>
    </row>
    <row r="221" spans="2:14" ht="15" customHeight="1" thickBot="1">
      <c r="B221" s="25" t="s">
        <v>57</v>
      </c>
      <c r="C221" s="26">
        <v>3</v>
      </c>
      <c r="E221" s="390" t="s">
        <v>65</v>
      </c>
      <c r="F221" s="391"/>
      <c r="G221" s="391"/>
      <c r="H221" s="26">
        <v>0</v>
      </c>
      <c r="K221" s="424" t="s">
        <v>113</v>
      </c>
      <c r="L221" s="425"/>
      <c r="M221" s="29">
        <v>0</v>
      </c>
    </row>
    <row r="222" spans="2:14" ht="16" thickBot="1">
      <c r="B222" s="25" t="s">
        <v>58</v>
      </c>
      <c r="C222" s="26">
        <v>4</v>
      </c>
      <c r="E222" s="390" t="s">
        <v>50</v>
      </c>
      <c r="F222" s="391"/>
      <c r="G222" s="391"/>
      <c r="H222" s="26">
        <v>4</v>
      </c>
      <c r="I222" s="33"/>
      <c r="K222" s="472"/>
      <c r="L222" s="472"/>
      <c r="M222" s="145"/>
    </row>
    <row r="223" spans="2:14" ht="14.5" customHeight="1">
      <c r="B223" s="25" t="s">
        <v>59</v>
      </c>
      <c r="C223" s="26">
        <v>4</v>
      </c>
      <c r="E223" s="390" t="s">
        <v>66</v>
      </c>
      <c r="F223" s="391"/>
      <c r="G223" s="391"/>
      <c r="H223" s="26">
        <v>0</v>
      </c>
      <c r="I223" s="33"/>
      <c r="K223" s="396" t="s">
        <v>200</v>
      </c>
      <c r="L223" s="397"/>
      <c r="M223" s="398"/>
      <c r="N223" s="65"/>
    </row>
    <row r="224" spans="2:14" ht="14.5" customHeight="1">
      <c r="B224" s="25" t="s">
        <v>60</v>
      </c>
      <c r="C224" s="26">
        <v>4</v>
      </c>
      <c r="E224" s="388" t="s">
        <v>67</v>
      </c>
      <c r="F224" s="392"/>
      <c r="G224" s="389"/>
      <c r="H224" s="26">
        <v>0</v>
      </c>
      <c r="I224" s="33"/>
      <c r="K224" s="388" t="s">
        <v>81</v>
      </c>
      <c r="L224" s="389"/>
      <c r="M224" s="26">
        <v>0</v>
      </c>
    </row>
    <row r="225" spans="2:13" ht="15" customHeight="1">
      <c r="B225" s="25" t="s">
        <v>61</v>
      </c>
      <c r="C225" s="26">
        <v>4</v>
      </c>
      <c r="E225" s="388" t="s">
        <v>68</v>
      </c>
      <c r="F225" s="392"/>
      <c r="G225" s="389"/>
      <c r="H225" s="26">
        <v>1</v>
      </c>
      <c r="I225" s="33"/>
      <c r="K225" s="388" t="s">
        <v>82</v>
      </c>
      <c r="L225" s="389"/>
      <c r="M225" s="26">
        <v>1</v>
      </c>
    </row>
    <row r="226" spans="2:13" ht="14.5" customHeight="1">
      <c r="B226" s="25" t="s">
        <v>62</v>
      </c>
      <c r="C226" s="26">
        <v>4</v>
      </c>
      <c r="E226" s="388" t="s">
        <v>69</v>
      </c>
      <c r="F226" s="392"/>
      <c r="G226" s="389"/>
      <c r="H226" s="26">
        <v>2</v>
      </c>
      <c r="I226" s="33"/>
      <c r="K226" s="388" t="s">
        <v>83</v>
      </c>
      <c r="L226" s="389"/>
      <c r="M226" s="26">
        <v>0</v>
      </c>
    </row>
    <row r="227" spans="2:13" ht="14.5" customHeight="1">
      <c r="B227" s="25" t="s">
        <v>63</v>
      </c>
      <c r="C227" s="26">
        <v>4</v>
      </c>
      <c r="E227" s="388" t="s">
        <v>70</v>
      </c>
      <c r="F227" s="392"/>
      <c r="G227" s="389"/>
      <c r="H227" s="26">
        <v>2</v>
      </c>
      <c r="I227" s="33"/>
      <c r="K227" s="388" t="s">
        <v>84</v>
      </c>
      <c r="L227" s="389"/>
      <c r="M227" s="26">
        <v>0</v>
      </c>
    </row>
    <row r="228" spans="2:13" ht="14.5" customHeight="1" thickBot="1">
      <c r="B228" s="31" t="s">
        <v>64</v>
      </c>
      <c r="C228" s="28">
        <v>4</v>
      </c>
      <c r="E228" s="388" t="s">
        <v>71</v>
      </c>
      <c r="F228" s="392"/>
      <c r="G228" s="389"/>
      <c r="H228" s="26">
        <v>0</v>
      </c>
      <c r="I228" s="33"/>
      <c r="J228" s="30"/>
      <c r="K228" s="388" t="s">
        <v>85</v>
      </c>
      <c r="L228" s="389"/>
      <c r="M228" s="26">
        <v>0</v>
      </c>
    </row>
    <row r="229" spans="2:13" ht="15" customHeight="1">
      <c r="C229" s="32"/>
      <c r="E229" s="388" t="s">
        <v>72</v>
      </c>
      <c r="F229" s="392"/>
      <c r="G229" s="389"/>
      <c r="H229" s="26">
        <v>1</v>
      </c>
      <c r="I229" s="33"/>
      <c r="K229" s="388" t="s">
        <v>86</v>
      </c>
      <c r="L229" s="389"/>
      <c r="M229" s="26">
        <v>0</v>
      </c>
    </row>
    <row r="230" spans="2:13" ht="14.5" customHeight="1">
      <c r="B230" s="32"/>
      <c r="C230" s="33"/>
      <c r="E230" s="388" t="s">
        <v>73</v>
      </c>
      <c r="F230" s="392"/>
      <c r="G230" s="389"/>
      <c r="H230" s="26">
        <v>0</v>
      </c>
      <c r="I230" s="33"/>
      <c r="K230" s="388" t="s">
        <v>87</v>
      </c>
      <c r="L230" s="389"/>
      <c r="M230" s="26">
        <v>0</v>
      </c>
    </row>
    <row r="231" spans="2:13" ht="14.5" customHeight="1">
      <c r="E231" s="388" t="s">
        <v>74</v>
      </c>
      <c r="F231" s="392"/>
      <c r="G231" s="389"/>
      <c r="H231" s="26">
        <v>0</v>
      </c>
      <c r="I231" s="33"/>
      <c r="K231" s="388" t="s">
        <v>88</v>
      </c>
      <c r="L231" s="389"/>
      <c r="M231" s="26">
        <v>0</v>
      </c>
    </row>
    <row r="232" spans="2:13" ht="14.5" customHeight="1">
      <c r="E232" s="390" t="s">
        <v>75</v>
      </c>
      <c r="F232" s="391"/>
      <c r="G232" s="391"/>
      <c r="H232" s="26">
        <v>2</v>
      </c>
      <c r="I232" s="33"/>
      <c r="K232" s="388" t="s">
        <v>89</v>
      </c>
      <c r="L232" s="389"/>
      <c r="M232" s="26">
        <v>0</v>
      </c>
    </row>
    <row r="233" spans="2:13" ht="14.5" customHeight="1">
      <c r="E233" s="390" t="s">
        <v>76</v>
      </c>
      <c r="F233" s="391"/>
      <c r="G233" s="391"/>
      <c r="H233" s="26">
        <v>1</v>
      </c>
      <c r="I233" s="33"/>
      <c r="K233" s="388" t="s">
        <v>90</v>
      </c>
      <c r="L233" s="389"/>
      <c r="M233" s="26">
        <v>0</v>
      </c>
    </row>
    <row r="234" spans="2:13" ht="15" customHeight="1" thickBot="1">
      <c r="E234" s="390" t="s">
        <v>77</v>
      </c>
      <c r="F234" s="391"/>
      <c r="G234" s="391"/>
      <c r="H234" s="26">
        <v>2</v>
      </c>
      <c r="I234" s="33"/>
      <c r="K234" s="442" t="s">
        <v>91</v>
      </c>
      <c r="L234" s="444"/>
      <c r="M234" s="28">
        <v>1</v>
      </c>
    </row>
    <row r="235" spans="2:13">
      <c r="E235" s="390" t="s">
        <v>78</v>
      </c>
      <c r="F235" s="391"/>
      <c r="G235" s="391"/>
      <c r="H235" s="26">
        <v>0</v>
      </c>
      <c r="I235" s="33"/>
      <c r="K235" s="461"/>
      <c r="L235" s="461"/>
      <c r="M235" s="33"/>
    </row>
    <row r="236" spans="2:13">
      <c r="E236" s="390" t="s">
        <v>79</v>
      </c>
      <c r="F236" s="391"/>
      <c r="G236" s="391"/>
      <c r="H236" s="26">
        <v>0</v>
      </c>
      <c r="I236" s="33"/>
    </row>
    <row r="237" spans="2:13" ht="16" thickBot="1">
      <c r="E237" s="462" t="s">
        <v>80</v>
      </c>
      <c r="F237" s="463"/>
      <c r="G237" s="463"/>
      <c r="H237" s="28">
        <v>0</v>
      </c>
    </row>
    <row r="255" ht="14.5" customHeight="1"/>
    <row r="256" ht="14.5" customHeight="1"/>
    <row r="257" spans="2:13" ht="14.5" customHeight="1"/>
    <row r="258" spans="2:13" ht="14.5" customHeight="1"/>
    <row r="259" spans="2:13" ht="14.5" customHeight="1"/>
    <row r="260" spans="2:13" ht="14.5" customHeight="1"/>
    <row r="261" spans="2:13" ht="14.5" customHeight="1"/>
    <row r="262" spans="2:13" ht="71" customHeight="1">
      <c r="B262" s="449" t="s">
        <v>314</v>
      </c>
      <c r="C262" s="449"/>
      <c r="D262" s="449"/>
      <c r="E262" s="449"/>
      <c r="F262" s="449"/>
      <c r="G262" s="449"/>
      <c r="H262" s="449"/>
      <c r="I262" s="449"/>
      <c r="J262" s="449"/>
      <c r="K262" s="449"/>
    </row>
    <row r="263" spans="2:13" ht="34.25" customHeight="1">
      <c r="B263" s="413" t="s">
        <v>222</v>
      </c>
      <c r="C263" s="413"/>
      <c r="D263" s="413"/>
      <c r="E263" s="413"/>
      <c r="F263" s="413"/>
      <c r="G263" s="413"/>
      <c r="H263" s="413"/>
      <c r="I263" s="413"/>
      <c r="J263" s="413"/>
      <c r="K263" s="413"/>
      <c r="L263" s="20">
        <f>'Aktuelle data'!C37</f>
        <v>1.653378</v>
      </c>
    </row>
    <row r="264" spans="2:13">
      <c r="B264" s="34"/>
    </row>
    <row r="265" spans="2:13" ht="21">
      <c r="B265" s="451" t="s">
        <v>272</v>
      </c>
      <c r="C265" s="451"/>
      <c r="D265" s="451"/>
      <c r="E265" s="451"/>
      <c r="F265" s="451"/>
      <c r="G265" s="451"/>
      <c r="H265" s="451"/>
      <c r="I265" s="451"/>
      <c r="J265" s="451"/>
      <c r="K265" s="451"/>
      <c r="L265" s="451"/>
      <c r="M265" s="451"/>
    </row>
    <row r="266" spans="2:13" ht="16" thickBot="1"/>
    <row r="267" spans="2:13">
      <c r="C267" s="438" t="s">
        <v>208</v>
      </c>
      <c r="D267" s="439"/>
      <c r="E267" s="439"/>
      <c r="F267" s="439"/>
      <c r="G267" s="439"/>
      <c r="H267" s="439"/>
      <c r="I267" s="77"/>
      <c r="J267" s="78">
        <f>'Aktuelle data'!C37</f>
        <v>1.653378</v>
      </c>
    </row>
    <row r="268" spans="2:13" ht="58.25" customHeight="1">
      <c r="C268" s="79" t="s">
        <v>205</v>
      </c>
      <c r="D268" s="80" t="s">
        <v>201</v>
      </c>
      <c r="E268" s="214"/>
      <c r="F268" s="81" t="s">
        <v>202</v>
      </c>
      <c r="G268" s="503" t="s">
        <v>203</v>
      </c>
      <c r="H268" s="504"/>
      <c r="I268" s="458" t="s">
        <v>204</v>
      </c>
      <c r="J268" s="459"/>
    </row>
    <row r="269" spans="2:13">
      <c r="C269" s="181">
        <v>1000</v>
      </c>
      <c r="D269" s="215">
        <f>'Aktuelle data'!W7</f>
        <v>1653.3779999999999</v>
      </c>
      <c r="E269" s="216"/>
      <c r="F269" s="217">
        <f>'Aktuelle data'!X7</f>
        <v>137.78149999999999</v>
      </c>
      <c r="G269" s="218"/>
      <c r="H269" s="217">
        <f>'Aktuelle data'!Y7</f>
        <v>276.94081499999999</v>
      </c>
      <c r="I269" s="219"/>
      <c r="J269" s="220">
        <f>'Aktuelle data'!Z7</f>
        <v>1930.3188149999999</v>
      </c>
    </row>
    <row r="270" spans="2:13">
      <c r="B270" s="21" t="s">
        <v>207</v>
      </c>
      <c r="C270" s="60">
        <v>1500</v>
      </c>
      <c r="D270" s="215">
        <f>'Aktuelle data'!W8</f>
        <v>2480.067</v>
      </c>
      <c r="E270" s="221"/>
      <c r="F270" s="222">
        <f>'Aktuelle data'!X8</f>
        <v>206.67224999999999</v>
      </c>
      <c r="G270" s="223"/>
      <c r="H270" s="222">
        <f>'Aktuelle data'!Y8</f>
        <v>415.41122250000001</v>
      </c>
      <c r="I270" s="224"/>
      <c r="J270" s="225">
        <f>'Aktuelle data'!Z8</f>
        <v>2895.4782224999999</v>
      </c>
    </row>
    <row r="271" spans="2:13">
      <c r="C271" s="195">
        <v>2500</v>
      </c>
      <c r="D271" s="215">
        <f>'Aktuelle data'!W9</f>
        <v>4133.4449999999997</v>
      </c>
      <c r="E271" s="223"/>
      <c r="F271" s="222">
        <f>'Aktuelle data'!X9</f>
        <v>344.45374999999996</v>
      </c>
      <c r="G271" s="223"/>
      <c r="H271" s="222">
        <f>'Aktuelle data'!Y9</f>
        <v>692.35203750000005</v>
      </c>
      <c r="I271" s="224"/>
      <c r="J271" s="225">
        <f>'Aktuelle data'!Z9</f>
        <v>4825.7970374999995</v>
      </c>
    </row>
    <row r="272" spans="2:13">
      <c r="C272" s="189">
        <v>2800</v>
      </c>
      <c r="D272" s="215">
        <f>'Aktuelle data'!W10</f>
        <v>4629.4584000000004</v>
      </c>
      <c r="E272" s="221"/>
      <c r="F272" s="222">
        <f>'Aktuelle data'!X10</f>
        <v>385.78820000000002</v>
      </c>
      <c r="G272" s="223"/>
      <c r="H272" s="222">
        <f>'Aktuelle data'!Y10</f>
        <v>775.43428200000005</v>
      </c>
      <c r="I272" s="224"/>
      <c r="J272" s="225">
        <f>'Aktuelle data'!Z10</f>
        <v>5404.8926820000006</v>
      </c>
    </row>
    <row r="273" spans="3:10">
      <c r="C273" s="189">
        <v>3100</v>
      </c>
      <c r="D273" s="215">
        <f>'Aktuelle data'!W11</f>
        <v>5125.4718000000003</v>
      </c>
      <c r="E273" s="221"/>
      <c r="F273" s="222">
        <f>'Aktuelle data'!X11</f>
        <v>427.12265000000002</v>
      </c>
      <c r="G273" s="223"/>
      <c r="H273" s="222">
        <f>'Aktuelle data'!Y11</f>
        <v>858.51652650000005</v>
      </c>
      <c r="I273" s="224"/>
      <c r="J273" s="225">
        <f>'Aktuelle data'!Z11</f>
        <v>5983.9883265000008</v>
      </c>
    </row>
    <row r="274" spans="3:10">
      <c r="C274" s="189">
        <v>3400</v>
      </c>
      <c r="D274" s="215">
        <f>'Aktuelle data'!W12</f>
        <v>5621.4852000000001</v>
      </c>
      <c r="E274" s="221"/>
      <c r="F274" s="222">
        <f>'Aktuelle data'!X12</f>
        <v>468.45710000000003</v>
      </c>
      <c r="G274" s="223"/>
      <c r="H274" s="222">
        <f>'Aktuelle data'!Y12</f>
        <v>941.59877099999994</v>
      </c>
      <c r="I274" s="224"/>
      <c r="J274" s="225">
        <f>'Aktuelle data'!Z12</f>
        <v>6563.083971</v>
      </c>
    </row>
    <row r="275" spans="3:10">
      <c r="C275" s="189">
        <v>3600</v>
      </c>
      <c r="D275" s="215">
        <f>'Aktuelle data'!W13</f>
        <v>5952.1607999999997</v>
      </c>
      <c r="E275" s="221"/>
      <c r="F275" s="222">
        <f>'Aktuelle data'!X13</f>
        <v>496.01339999999999</v>
      </c>
      <c r="G275" s="223"/>
      <c r="H275" s="222">
        <f>'Aktuelle data'!Y13</f>
        <v>996.98693399999991</v>
      </c>
      <c r="I275" s="224"/>
      <c r="J275" s="225">
        <f>'Aktuelle data'!Z13</f>
        <v>6949.1477339999992</v>
      </c>
    </row>
    <row r="276" spans="3:10">
      <c r="C276" s="189">
        <v>3800</v>
      </c>
      <c r="D276" s="215">
        <f>'Aktuelle data'!W14</f>
        <v>6282.8364000000001</v>
      </c>
      <c r="E276" s="221"/>
      <c r="F276" s="222">
        <f>'Aktuelle data'!X14</f>
        <v>523.56970000000001</v>
      </c>
      <c r="G276" s="223"/>
      <c r="H276" s="222">
        <f>'Aktuelle data'!Y14</f>
        <v>1052.3750969999999</v>
      </c>
      <c r="I276" s="224"/>
      <c r="J276" s="225">
        <f>'Aktuelle data'!Z14</f>
        <v>7335.2114970000002</v>
      </c>
    </row>
    <row r="277" spans="3:10">
      <c r="C277" s="189">
        <v>4100</v>
      </c>
      <c r="D277" s="215">
        <f>'Aktuelle data'!W15</f>
        <v>6778.8498</v>
      </c>
      <c r="E277" s="221"/>
      <c r="F277" s="222">
        <f>'Aktuelle data'!X15</f>
        <v>564.90414999999996</v>
      </c>
      <c r="G277" s="223"/>
      <c r="H277" s="222">
        <f>'Aktuelle data'!Y15</f>
        <v>1135.4573415</v>
      </c>
      <c r="I277" s="224"/>
      <c r="J277" s="225">
        <f>'Aktuelle data'!Z15</f>
        <v>7914.3071414999995</v>
      </c>
    </row>
    <row r="278" spans="3:10">
      <c r="C278" s="189">
        <v>4300</v>
      </c>
      <c r="D278" s="215">
        <f>'Aktuelle data'!W16</f>
        <v>7109.5254000000004</v>
      </c>
      <c r="E278" s="221"/>
      <c r="F278" s="222">
        <f>'Aktuelle data'!X16</f>
        <v>592.46045000000004</v>
      </c>
      <c r="G278" s="223"/>
      <c r="H278" s="222">
        <f>'Aktuelle data'!Y16</f>
        <v>1190.8455045000001</v>
      </c>
      <c r="I278" s="224"/>
      <c r="J278" s="225">
        <f>'Aktuelle data'!Z16</f>
        <v>8300.3709044999996</v>
      </c>
    </row>
    <row r="279" spans="3:10">
      <c r="C279" s="189">
        <v>4800</v>
      </c>
      <c r="D279" s="215">
        <f>'Aktuelle data'!W17</f>
        <v>7936.2143999999998</v>
      </c>
      <c r="E279" s="221"/>
      <c r="F279" s="222">
        <f>'Aktuelle data'!X17</f>
        <v>661.35119999999995</v>
      </c>
      <c r="G279" s="223"/>
      <c r="H279" s="222">
        <f>'Aktuelle data'!Y17</f>
        <v>1329.315912</v>
      </c>
      <c r="I279" s="224"/>
      <c r="J279" s="225">
        <f>'Aktuelle data'!Z17</f>
        <v>9265.530311999999</v>
      </c>
    </row>
    <row r="280" spans="3:10">
      <c r="C280" s="189">
        <v>4900</v>
      </c>
      <c r="D280" s="215">
        <f>'Aktuelle data'!W18</f>
        <v>8101.5522000000001</v>
      </c>
      <c r="E280" s="221"/>
      <c r="F280" s="222">
        <f>'Aktuelle data'!X18</f>
        <v>675.12935000000004</v>
      </c>
      <c r="G280" s="223"/>
      <c r="H280" s="222">
        <f>'Aktuelle data'!Y18</f>
        <v>1357.0099935000001</v>
      </c>
      <c r="I280" s="224"/>
      <c r="J280" s="225">
        <f>'Aktuelle data'!Z18</f>
        <v>9458.5621934999999</v>
      </c>
    </row>
    <row r="281" spans="3:10">
      <c r="C281" s="189">
        <v>5200</v>
      </c>
      <c r="D281" s="215">
        <f>'Aktuelle data'!W19</f>
        <v>8597.5655999999999</v>
      </c>
      <c r="E281" s="221"/>
      <c r="F281" s="222">
        <f>'Aktuelle data'!X19</f>
        <v>716.46379999999999</v>
      </c>
      <c r="G281" s="223"/>
      <c r="H281" s="222">
        <f>'Aktuelle data'!Y19</f>
        <v>1440.0922380000002</v>
      </c>
      <c r="I281" s="224"/>
      <c r="J281" s="225">
        <f>'Aktuelle data'!Z19</f>
        <v>10037.657837999999</v>
      </c>
    </row>
    <row r="282" spans="3:10">
      <c r="C282" s="189">
        <v>6000</v>
      </c>
      <c r="D282" s="215">
        <f>'Aktuelle data'!W20</f>
        <v>9920.268</v>
      </c>
      <c r="E282" s="221"/>
      <c r="F282" s="222">
        <f>'Aktuelle data'!X20</f>
        <v>826.68899999999996</v>
      </c>
      <c r="G282" s="223"/>
      <c r="H282" s="222">
        <f>'Aktuelle data'!Y20</f>
        <v>1661.64489</v>
      </c>
      <c r="I282" s="224"/>
      <c r="J282" s="225">
        <f>'Aktuelle data'!Z20</f>
        <v>11581.91289</v>
      </c>
    </row>
    <row r="283" spans="3:10">
      <c r="C283" s="189">
        <v>7000</v>
      </c>
      <c r="D283" s="215">
        <f>'Aktuelle data'!W21</f>
        <v>11573.646000000001</v>
      </c>
      <c r="E283" s="221"/>
      <c r="F283" s="222">
        <f>'Aktuelle data'!X21</f>
        <v>964.47050000000002</v>
      </c>
      <c r="G283" s="223"/>
      <c r="H283" s="222">
        <f>'Aktuelle data'!Y21</f>
        <v>1938.585705</v>
      </c>
      <c r="I283" s="224"/>
      <c r="J283" s="225">
        <f>'Aktuelle data'!Z21</f>
        <v>13512.231705</v>
      </c>
    </row>
    <row r="284" spans="3:10">
      <c r="C284" s="61">
        <v>8100</v>
      </c>
      <c r="D284" s="215">
        <f>'Aktuelle data'!W22</f>
        <v>13392.361800000001</v>
      </c>
      <c r="E284" s="221"/>
      <c r="F284" s="222">
        <f>'Aktuelle data'!X22</f>
        <v>1116.03015</v>
      </c>
      <c r="G284" s="223"/>
      <c r="H284" s="222">
        <f>'Aktuelle data'!Y22</f>
        <v>2243.2206015000002</v>
      </c>
      <c r="I284" s="224"/>
      <c r="J284" s="225">
        <f>'Aktuelle data'!Z22</f>
        <v>15635.5824015</v>
      </c>
    </row>
    <row r="285" spans="3:10">
      <c r="C285" s="61">
        <v>9100</v>
      </c>
      <c r="D285" s="215">
        <f>'Aktuelle data'!W23</f>
        <v>15045.739799999999</v>
      </c>
      <c r="E285" s="221"/>
      <c r="F285" s="222">
        <f>'Aktuelle data'!X23</f>
        <v>1253.8116499999999</v>
      </c>
      <c r="G285" s="223"/>
      <c r="H285" s="222">
        <f>'Aktuelle data'!Y23</f>
        <v>2520.1614164999996</v>
      </c>
      <c r="I285" s="224"/>
      <c r="J285" s="225">
        <f>'Aktuelle data'!Z23</f>
        <v>17565.901216499999</v>
      </c>
    </row>
    <row r="286" spans="3:10">
      <c r="C286" s="61">
        <v>12000</v>
      </c>
      <c r="D286" s="215">
        <f>'Aktuelle data'!W24</f>
        <v>19840.536</v>
      </c>
      <c r="E286" s="221"/>
      <c r="F286" s="222">
        <f>'Aktuelle data'!X24</f>
        <v>1653.3779999999999</v>
      </c>
      <c r="G286" s="223"/>
      <c r="H286" s="222">
        <f>'Aktuelle data'!Y24</f>
        <v>3323.2897800000001</v>
      </c>
      <c r="I286" s="224"/>
      <c r="J286" s="225">
        <f>'Aktuelle data'!Z24</f>
        <v>23163.825779999999</v>
      </c>
    </row>
    <row r="287" spans="3:10">
      <c r="C287" s="61">
        <v>20300</v>
      </c>
      <c r="D287" s="215">
        <f>'Aktuelle data'!W25</f>
        <v>33563.573400000001</v>
      </c>
      <c r="E287" s="221"/>
      <c r="F287" s="222">
        <f>'Aktuelle data'!X25</f>
        <v>2796.9644499999999</v>
      </c>
      <c r="G287" s="223"/>
      <c r="H287" s="222">
        <f>'Aktuelle data'!Y25</f>
        <v>5621.8985444999998</v>
      </c>
      <c r="I287" s="224"/>
      <c r="J287" s="225">
        <f>'Aktuelle data'!Z25</f>
        <v>39185.471944500001</v>
      </c>
    </row>
    <row r="288" spans="3:10">
      <c r="C288" s="61">
        <v>30600</v>
      </c>
      <c r="D288" s="215">
        <f>'Aktuelle data'!W26</f>
        <v>50593.366800000003</v>
      </c>
      <c r="E288" s="221"/>
      <c r="F288" s="222">
        <f>'Aktuelle data'!X26</f>
        <v>4216.1139000000003</v>
      </c>
      <c r="G288" s="223"/>
      <c r="H288" s="222">
        <f>'Aktuelle data'!Y26</f>
        <v>8474.3889390000004</v>
      </c>
      <c r="I288" s="224"/>
      <c r="J288" s="225">
        <f>'Aktuelle data'!Z26</f>
        <v>59067.755739</v>
      </c>
    </row>
    <row r="289" spans="3:10" ht="16" thickBot="1">
      <c r="C289" s="46">
        <v>41000</v>
      </c>
      <c r="D289" s="226">
        <f>'Aktuelle data'!W27</f>
        <v>67788.498000000007</v>
      </c>
      <c r="E289" s="227"/>
      <c r="F289" s="228">
        <f>'Aktuelle data'!X27</f>
        <v>5649.0415000000003</v>
      </c>
      <c r="G289" s="229"/>
      <c r="H289" s="228">
        <f>'Aktuelle data'!Y27</f>
        <v>11354.573415000001</v>
      </c>
      <c r="I289" s="230"/>
      <c r="J289" s="231">
        <f>'Aktuelle data'!Z27</f>
        <v>79143.071415000013</v>
      </c>
    </row>
    <row r="290" spans="3:10">
      <c r="C290" s="35"/>
    </row>
    <row r="291" spans="3:10">
      <c r="C291" s="16" t="s">
        <v>220</v>
      </c>
    </row>
    <row r="321" spans="2:13" ht="37" customHeight="1"/>
    <row r="322" spans="2:13" ht="31" customHeight="1">
      <c r="B322" s="449" t="s">
        <v>273</v>
      </c>
      <c r="C322" s="450"/>
      <c r="D322" s="450"/>
      <c r="E322" s="450"/>
      <c r="F322" s="450"/>
      <c r="G322" s="450"/>
      <c r="H322" s="450"/>
      <c r="I322" s="450"/>
      <c r="J322" s="450"/>
      <c r="K322" s="450"/>
      <c r="L322" s="450"/>
      <c r="M322" s="450"/>
    </row>
    <row r="323" spans="2:13" ht="16" thickBot="1">
      <c r="B323" s="36"/>
    </row>
    <row r="324" spans="2:13">
      <c r="B324" s="37" t="s">
        <v>209</v>
      </c>
      <c r="C324" s="232"/>
      <c r="D324" s="232"/>
      <c r="E324" s="232"/>
      <c r="F324" s="232"/>
      <c r="G324" s="232"/>
      <c r="H324" s="232"/>
      <c r="I324" s="232"/>
      <c r="J324" s="232"/>
      <c r="K324" s="232"/>
      <c r="L324" s="232"/>
      <c r="M324" s="233"/>
    </row>
    <row r="325" spans="2:13">
      <c r="B325" s="234" t="s">
        <v>210</v>
      </c>
      <c r="M325" s="235"/>
    </row>
    <row r="326" spans="2:13">
      <c r="B326" s="234" t="s">
        <v>211</v>
      </c>
      <c r="M326" s="235"/>
    </row>
    <row r="327" spans="2:13">
      <c r="B327" s="452" t="s">
        <v>261</v>
      </c>
      <c r="C327" s="453"/>
      <c r="D327" s="453"/>
      <c r="E327" s="453"/>
      <c r="F327" s="453"/>
      <c r="G327" s="453"/>
      <c r="H327" s="453"/>
      <c r="I327" s="453"/>
      <c r="J327" s="453"/>
      <c r="K327" s="453"/>
      <c r="L327" s="453"/>
      <c r="M327" s="454"/>
    </row>
    <row r="328" spans="2:13" ht="16" thickBot="1">
      <c r="B328" s="455" t="s">
        <v>212</v>
      </c>
      <c r="C328" s="456"/>
      <c r="D328" s="456"/>
      <c r="E328" s="456"/>
      <c r="F328" s="456"/>
      <c r="G328" s="456"/>
      <c r="H328" s="456"/>
      <c r="I328" s="456"/>
      <c r="J328" s="456"/>
      <c r="K328" s="456"/>
      <c r="L328" s="456"/>
      <c r="M328" s="457"/>
    </row>
    <row r="329" spans="2:13" ht="17" thickBot="1">
      <c r="B329" s="238"/>
    </row>
    <row r="330" spans="2:13" ht="16">
      <c r="B330" s="464" t="s">
        <v>251</v>
      </c>
      <c r="C330" s="465"/>
      <c r="D330" s="465"/>
      <c r="E330" s="465"/>
      <c r="F330" s="465"/>
      <c r="G330" s="465"/>
      <c r="H330" s="465"/>
      <c r="I330" s="465"/>
      <c r="J330" s="465"/>
      <c r="K330" s="465"/>
      <c r="L330" s="465"/>
      <c r="M330" s="466"/>
    </row>
    <row r="331" spans="2:13" ht="16">
      <c r="B331" s="505" t="s">
        <v>213</v>
      </c>
      <c r="C331" s="506"/>
      <c r="D331" s="395">
        <f>'Aktuelle data'!D20</f>
        <v>470816</v>
      </c>
      <c r="E331" s="395"/>
      <c r="F331" s="395"/>
      <c r="G331" s="240" t="s">
        <v>207</v>
      </c>
      <c r="H331" s="445" t="s">
        <v>218</v>
      </c>
      <c r="I331" s="445"/>
      <c r="J331" s="445"/>
      <c r="K331" s="241" t="s">
        <v>215</v>
      </c>
      <c r="L331" s="393">
        <f>'Aktuelle data'!D20*30/37</f>
        <v>381742.70270270272</v>
      </c>
      <c r="M331" s="394"/>
    </row>
    <row r="332" spans="2:13" ht="16">
      <c r="B332" s="507" t="s">
        <v>22</v>
      </c>
      <c r="C332" s="446"/>
      <c r="D332" s="244">
        <f>'Aktuelle data'!B44</f>
        <v>1500</v>
      </c>
      <c r="E332" s="240" t="s">
        <v>207</v>
      </c>
      <c r="F332" s="245">
        <f>'Aktuelle data'!C37</f>
        <v>1.653378</v>
      </c>
      <c r="G332" s="240" t="s">
        <v>207</v>
      </c>
      <c r="H332" s="446" t="s">
        <v>218</v>
      </c>
      <c r="I332" s="446"/>
      <c r="J332" s="446"/>
      <c r="K332" s="242" t="s">
        <v>215</v>
      </c>
      <c r="L332" s="246">
        <f>'Aktuelle data'!B44*'Aktuelle data'!C37*30/37</f>
        <v>2010.865135135135</v>
      </c>
      <c r="M332" s="247"/>
    </row>
    <row r="333" spans="2:13" ht="16">
      <c r="B333" s="505" t="s">
        <v>25</v>
      </c>
      <c r="C333" s="506"/>
      <c r="D333" s="248">
        <v>7900</v>
      </c>
      <c r="E333" s="240" t="s">
        <v>207</v>
      </c>
      <c r="F333" s="243">
        <f>'Aktuelle data'!C37</f>
        <v>1.653378</v>
      </c>
      <c r="G333" s="239"/>
      <c r="H333" s="249"/>
      <c r="I333" s="249"/>
      <c r="J333" s="242"/>
      <c r="K333" s="242" t="s">
        <v>215</v>
      </c>
      <c r="L333" s="246">
        <f>7900*'Aktuelle data'!C37</f>
        <v>13061.6862</v>
      </c>
      <c r="M333" s="250"/>
    </row>
    <row r="334" spans="2:13" ht="15.75" customHeight="1">
      <c r="B334" s="416" t="s">
        <v>33</v>
      </c>
      <c r="C334" s="417"/>
      <c r="D334" s="224"/>
      <c r="E334" s="224"/>
      <c r="F334" s="224"/>
      <c r="G334" s="224"/>
      <c r="H334" s="249"/>
      <c r="I334" s="249"/>
      <c r="J334" s="62"/>
      <c r="K334" s="62"/>
      <c r="L334" s="63">
        <f>SUM(L331:L333)</f>
        <v>396815.25403783785</v>
      </c>
      <c r="M334" s="44"/>
    </row>
    <row r="335" spans="2:13" ht="16" thickBot="1">
      <c r="B335" s="447" t="s">
        <v>34</v>
      </c>
      <c r="C335" s="448"/>
      <c r="D335" s="251"/>
      <c r="E335" s="251"/>
      <c r="F335" s="251"/>
      <c r="G335" s="251"/>
      <c r="H335" s="237"/>
      <c r="I335" s="237"/>
      <c r="J335" s="42"/>
      <c r="K335" s="42"/>
      <c r="L335" s="43">
        <f>L334/12</f>
        <v>33067.93783648649</v>
      </c>
      <c r="M335" s="40"/>
    </row>
    <row r="337" spans="1:13" ht="34">
      <c r="B337" s="38" t="s">
        <v>214</v>
      </c>
    </row>
    <row r="338" spans="1:13" ht="21">
      <c r="B338" s="449" t="s">
        <v>275</v>
      </c>
      <c r="C338" s="450"/>
      <c r="D338" s="450"/>
      <c r="E338" s="450"/>
      <c r="F338" s="450"/>
      <c r="G338" s="450"/>
      <c r="H338" s="450"/>
      <c r="I338" s="450"/>
      <c r="J338" s="450"/>
      <c r="K338" s="450"/>
      <c r="L338" s="450"/>
      <c r="M338" s="450"/>
    </row>
    <row r="340" spans="1:13">
      <c r="B340" s="502" t="s">
        <v>227</v>
      </c>
      <c r="C340" s="502"/>
      <c r="D340" s="502"/>
      <c r="E340" s="502"/>
      <c r="F340" s="502"/>
      <c r="G340" s="252"/>
      <c r="H340" s="252"/>
      <c r="I340" s="252"/>
      <c r="J340" s="252"/>
      <c r="K340" s="252"/>
      <c r="L340" s="50">
        <f>'Aktuelle data'!C38</f>
        <v>16.75</v>
      </c>
      <c r="M340" s="252"/>
    </row>
    <row r="341" spans="1:13" ht="27" customHeight="1">
      <c r="B341" s="502" t="s">
        <v>229</v>
      </c>
      <c r="C341" s="502"/>
      <c r="D341" s="502"/>
      <c r="E341" s="502"/>
      <c r="F341" s="502"/>
      <c r="G341" s="502"/>
      <c r="H341" s="502"/>
      <c r="I341" s="502"/>
      <c r="J341" s="502"/>
      <c r="K341" s="502"/>
      <c r="L341" s="502"/>
    </row>
    <row r="342" spans="1:13">
      <c r="A342" s="1"/>
      <c r="B342" s="467" t="s">
        <v>228</v>
      </c>
      <c r="C342" s="467"/>
      <c r="D342" s="467"/>
      <c r="E342" s="467"/>
      <c r="F342" s="467"/>
      <c r="G342" s="467"/>
      <c r="H342" s="467"/>
      <c r="I342" s="467"/>
      <c r="J342" s="467"/>
      <c r="K342" s="467"/>
      <c r="L342" s="467"/>
      <c r="M342" s="467"/>
    </row>
    <row r="343" spans="1:13" ht="16">
      <c r="B343" s="238"/>
    </row>
    <row r="344" spans="1:13" s="1" customFormat="1" ht="32.25" customHeight="1">
      <c r="A344"/>
      <c r="B344" s="460" t="s">
        <v>274</v>
      </c>
      <c r="C344" s="460"/>
      <c r="D344" s="460"/>
      <c r="E344" s="460"/>
      <c r="F344" s="460"/>
      <c r="G344" s="460"/>
      <c r="H344" s="460"/>
      <c r="I344" s="460"/>
      <c r="J344" s="460"/>
      <c r="K344" s="460"/>
      <c r="L344" s="460"/>
      <c r="M344" s="460"/>
    </row>
    <row r="345" spans="1:13" ht="17" thickBot="1">
      <c r="B345" s="238"/>
    </row>
    <row r="346" spans="1:13" ht="64">
      <c r="B346" s="82" t="s">
        <v>216</v>
      </c>
      <c r="C346" s="469">
        <f>'Aktuelle data'!R20</f>
        <v>470816</v>
      </c>
      <c r="D346" s="469"/>
      <c r="E346" s="253" t="s">
        <v>207</v>
      </c>
      <c r="F346" s="254">
        <f>'Aktuelle data'!C38</f>
        <v>16.75</v>
      </c>
      <c r="G346" s="254" t="s">
        <v>217</v>
      </c>
      <c r="H346" s="255">
        <v>100</v>
      </c>
      <c r="I346" s="255" t="s">
        <v>207</v>
      </c>
      <c r="J346" s="255" t="s">
        <v>218</v>
      </c>
      <c r="K346" s="256" t="s">
        <v>215</v>
      </c>
      <c r="L346" s="257">
        <f>'Aktuelle data'!C38*'Aktuelle data'!R20*30/37/100</f>
        <v>63941.902702702704</v>
      </c>
    </row>
    <row r="347" spans="1:13" ht="96">
      <c r="B347" s="83" t="s">
        <v>262</v>
      </c>
      <c r="C347" s="468">
        <f>'Aktuelle data'!B44</f>
        <v>1500</v>
      </c>
      <c r="D347" s="468"/>
      <c r="E347" s="241" t="s">
        <v>207</v>
      </c>
      <c r="F347" s="258">
        <f>'Aktuelle data'!C37</f>
        <v>1.653378</v>
      </c>
      <c r="G347" s="241" t="s">
        <v>207</v>
      </c>
      <c r="H347" s="259">
        <f>'Aktuelle data'!C38</f>
        <v>16.75</v>
      </c>
      <c r="I347" s="241" t="s">
        <v>207</v>
      </c>
      <c r="J347" s="249" t="s">
        <v>219</v>
      </c>
      <c r="K347" s="241" t="s">
        <v>215</v>
      </c>
      <c r="L347" s="247">
        <v>294.32</v>
      </c>
    </row>
    <row r="348" spans="1:13" ht="64">
      <c r="A348" s="219"/>
      <c r="B348" s="83" t="s">
        <v>232</v>
      </c>
      <c r="C348" s="468">
        <v>7900</v>
      </c>
      <c r="D348" s="468"/>
      <c r="E348" s="249" t="s">
        <v>207</v>
      </c>
      <c r="F348" s="241">
        <f>'Aktuelle data'!C37</f>
        <v>1.653378</v>
      </c>
      <c r="G348" s="249" t="s">
        <v>207</v>
      </c>
      <c r="H348" s="259">
        <f>'Aktuelle data'!C38</f>
        <v>16.75</v>
      </c>
      <c r="I348" s="241" t="s">
        <v>217</v>
      </c>
      <c r="J348" s="241">
        <v>100</v>
      </c>
      <c r="K348" s="241" t="s">
        <v>215</v>
      </c>
      <c r="L348" s="260">
        <f>7900*'Aktuelle data'!C37*'Aktuelle data'!C38/100</f>
        <v>2187.8324385000001</v>
      </c>
    </row>
    <row r="349" spans="1:13" ht="48">
      <c r="B349" s="83" t="s">
        <v>234</v>
      </c>
      <c r="C349" s="239"/>
      <c r="D349" s="224"/>
      <c r="E349" s="224"/>
      <c r="F349" s="224"/>
      <c r="G349" s="224"/>
      <c r="H349" s="249"/>
      <c r="I349" s="249"/>
      <c r="J349" s="224"/>
      <c r="K349" s="224"/>
      <c r="L349" s="44">
        <f>SUM(L346:L348)</f>
        <v>66424.055141202698</v>
      </c>
    </row>
    <row r="350" spans="1:13" ht="49" thickBot="1">
      <c r="B350" s="84" t="s">
        <v>235</v>
      </c>
      <c r="C350" s="261"/>
      <c r="D350" s="251"/>
      <c r="E350" s="251"/>
      <c r="F350" s="251"/>
      <c r="G350" s="251"/>
      <c r="H350" s="237"/>
      <c r="I350" s="237"/>
      <c r="J350" s="251"/>
      <c r="K350" s="251"/>
      <c r="L350" s="40">
        <f>L349/12</f>
        <v>5535.3379284335579</v>
      </c>
      <c r="M350" s="219"/>
    </row>
    <row r="351" spans="1:13">
      <c r="B351" s="39"/>
      <c r="C351" s="262"/>
      <c r="H351" s="236"/>
      <c r="I351" s="236"/>
      <c r="L351" s="41"/>
    </row>
    <row r="352" spans="1:13">
      <c r="B352" s="39"/>
      <c r="C352" s="262"/>
      <c r="H352" s="236"/>
      <c r="I352" s="236"/>
      <c r="L352" s="41"/>
    </row>
    <row r="353" spans="2:13">
      <c r="B353" s="39"/>
      <c r="C353" s="262"/>
      <c r="H353" s="236"/>
      <c r="I353" s="236"/>
      <c r="L353" s="41"/>
    </row>
    <row r="354" spans="2:13">
      <c r="B354" s="39"/>
      <c r="C354" s="262"/>
      <c r="H354" s="236"/>
      <c r="I354" s="236"/>
      <c r="L354" s="41"/>
    </row>
    <row r="355" spans="2:13">
      <c r="B355" s="39"/>
      <c r="C355" s="262"/>
      <c r="H355" s="236"/>
      <c r="I355" s="236"/>
      <c r="L355" s="41"/>
    </row>
    <row r="356" spans="2:13">
      <c r="B356" s="39"/>
      <c r="C356" s="262"/>
      <c r="H356" s="236"/>
      <c r="I356" s="236"/>
      <c r="L356" s="41"/>
    </row>
    <row r="357" spans="2:13">
      <c r="B357" s="39"/>
      <c r="C357" s="262"/>
      <c r="H357" s="236"/>
      <c r="I357" s="236"/>
      <c r="L357" s="41"/>
    </row>
    <row r="358" spans="2:13">
      <c r="B358" s="39"/>
      <c r="C358" s="262"/>
      <c r="H358" s="236"/>
      <c r="I358" s="236"/>
      <c r="L358" s="41"/>
    </row>
    <row r="359" spans="2:13">
      <c r="B359" s="39"/>
      <c r="C359" s="262"/>
      <c r="H359" s="236"/>
      <c r="I359" s="236"/>
      <c r="L359" s="41"/>
    </row>
    <row r="360" spans="2:13">
      <c r="B360" s="39"/>
      <c r="C360" s="262"/>
      <c r="H360" s="236"/>
      <c r="I360" s="236"/>
      <c r="L360" s="41"/>
    </row>
    <row r="361" spans="2:13">
      <c r="B361" s="39"/>
      <c r="C361" s="262"/>
      <c r="H361" s="236"/>
      <c r="I361" s="236"/>
      <c r="L361" s="41"/>
    </row>
    <row r="362" spans="2:13">
      <c r="B362" s="39"/>
      <c r="C362" s="262"/>
      <c r="H362" s="236"/>
      <c r="I362" s="236"/>
      <c r="L362" s="41"/>
    </row>
    <row r="363" spans="2:13">
      <c r="B363" s="39"/>
      <c r="C363" s="262"/>
      <c r="H363" s="236"/>
      <c r="I363" s="236"/>
      <c r="L363" s="41"/>
    </row>
    <row r="364" spans="2:13">
      <c r="B364" s="39"/>
      <c r="C364" s="262"/>
      <c r="H364" s="236"/>
      <c r="I364" s="236"/>
      <c r="L364" s="41"/>
    </row>
    <row r="365" spans="2:13" ht="21">
      <c r="B365" s="264" t="s">
        <v>315</v>
      </c>
      <c r="C365" s="264"/>
      <c r="D365" s="264"/>
      <c r="E365" s="264"/>
      <c r="F365" s="264"/>
      <c r="G365" s="265"/>
      <c r="H365" s="264"/>
      <c r="I365" s="264"/>
      <c r="J365" s="264"/>
      <c r="K365" s="264"/>
      <c r="L365" s="264"/>
      <c r="M365" s="263"/>
    </row>
    <row r="366" spans="2:13">
      <c r="B366" s="266"/>
    </row>
    <row r="367" spans="2:13" ht="31.25" customHeight="1">
      <c r="B367" s="467" t="s">
        <v>222</v>
      </c>
      <c r="C367" s="467"/>
      <c r="D367" s="467"/>
      <c r="E367" s="467"/>
      <c r="F367" s="467"/>
      <c r="G367" s="467"/>
      <c r="H367" s="467"/>
      <c r="I367" s="467"/>
      <c r="J367" s="467"/>
      <c r="K367" s="467"/>
      <c r="L367" s="20">
        <f>'Aktuelle data'!C37</f>
        <v>1.653378</v>
      </c>
    </row>
    <row r="368" spans="2:13">
      <c r="B368" s="252"/>
      <c r="C368" s="252"/>
      <c r="D368" s="252"/>
      <c r="E368" s="252"/>
      <c r="F368" s="252"/>
      <c r="G368" s="252"/>
      <c r="H368" s="252"/>
      <c r="I368" s="252"/>
      <c r="J368" s="252"/>
      <c r="K368" s="252"/>
      <c r="L368" s="20"/>
    </row>
    <row r="369" spans="2:12" ht="21">
      <c r="B369" s="449" t="s">
        <v>316</v>
      </c>
      <c r="C369" s="449"/>
      <c r="D369" s="449"/>
      <c r="E369" s="449"/>
      <c r="F369" s="449"/>
      <c r="G369" s="449"/>
      <c r="H369" s="449"/>
      <c r="I369" s="449"/>
      <c r="J369" s="449"/>
      <c r="K369" s="449"/>
      <c r="L369" s="449"/>
    </row>
    <row r="370" spans="2:12" ht="22" thickBot="1">
      <c r="B370" s="263"/>
      <c r="C370" s="263"/>
      <c r="D370" s="263"/>
      <c r="E370" s="263"/>
      <c r="F370" s="263"/>
      <c r="G370" s="263"/>
      <c r="H370" s="263"/>
      <c r="I370" s="263"/>
      <c r="J370" s="263"/>
      <c r="K370" s="263"/>
      <c r="L370" s="263"/>
    </row>
    <row r="371" spans="2:12">
      <c r="C371" s="438" t="s">
        <v>208</v>
      </c>
      <c r="D371" s="439"/>
      <c r="E371" s="439"/>
      <c r="F371" s="439"/>
      <c r="G371" s="439"/>
      <c r="H371" s="439"/>
      <c r="I371" s="439"/>
      <c r="J371" s="85">
        <f>'Aktuelle data'!C37</f>
        <v>1.653378</v>
      </c>
    </row>
    <row r="372" spans="2:12" ht="55.5" customHeight="1">
      <c r="C372" s="86" t="s">
        <v>205</v>
      </c>
      <c r="D372" s="87" t="s">
        <v>201</v>
      </c>
      <c r="E372" s="440" t="s">
        <v>202</v>
      </c>
      <c r="F372" s="440"/>
      <c r="G372" s="440" t="s">
        <v>203</v>
      </c>
      <c r="H372" s="440"/>
      <c r="I372" s="440" t="s">
        <v>204</v>
      </c>
      <c r="J372" s="441"/>
    </row>
    <row r="373" spans="2:12">
      <c r="C373" s="67">
        <v>1000</v>
      </c>
      <c r="D373" s="56">
        <f>'Aktuelle data'!AD7</f>
        <v>1653.3779999999999</v>
      </c>
      <c r="E373" s="66"/>
      <c r="F373" s="57">
        <f>'Aktuelle data'!AE7</f>
        <v>137.78149999999999</v>
      </c>
      <c r="G373" s="66"/>
      <c r="H373" s="57">
        <f>'Aktuelle data'!AF7</f>
        <v>322.73938559999999</v>
      </c>
      <c r="I373" s="66"/>
      <c r="J373" s="58">
        <f>'Aktuelle data'!AG7</f>
        <v>1976.1173856</v>
      </c>
    </row>
    <row r="374" spans="2:12">
      <c r="C374" s="267">
        <v>1500</v>
      </c>
      <c r="D374" s="56">
        <f>'Aktuelle data'!AD8</f>
        <v>2480.067</v>
      </c>
      <c r="E374" s="224"/>
      <c r="F374" s="57">
        <f>'Aktuelle data'!AE8</f>
        <v>206.67224999999999</v>
      </c>
      <c r="G374" s="224"/>
      <c r="H374" s="57">
        <f>'Aktuelle data'!AF8</f>
        <v>484.10907839999999</v>
      </c>
      <c r="I374" s="224"/>
      <c r="J374" s="58">
        <f>'Aktuelle data'!AG8</f>
        <v>2964.1760783999998</v>
      </c>
    </row>
    <row r="375" spans="2:12">
      <c r="C375" s="267">
        <v>2500</v>
      </c>
      <c r="D375" s="56">
        <f>'Aktuelle data'!AD9</f>
        <v>4133.4449999999997</v>
      </c>
      <c r="E375" s="224"/>
      <c r="F375" s="57">
        <f>'Aktuelle data'!AE9</f>
        <v>344.45374999999996</v>
      </c>
      <c r="G375" s="224"/>
      <c r="H375" s="57">
        <f>'Aktuelle data'!AF9</f>
        <v>806.84846399999992</v>
      </c>
      <c r="I375" s="224"/>
      <c r="J375" s="58">
        <f>'Aktuelle data'!AG9</f>
        <v>4940.2934639999994</v>
      </c>
    </row>
    <row r="376" spans="2:12">
      <c r="C376" s="267">
        <v>2800</v>
      </c>
      <c r="D376" s="56">
        <f>'Aktuelle data'!AD10</f>
        <v>4629.4584000000004</v>
      </c>
      <c r="E376" s="224"/>
      <c r="F376" s="57">
        <f>'Aktuelle data'!AE10</f>
        <v>385.78820000000002</v>
      </c>
      <c r="G376" s="224"/>
      <c r="H376" s="57">
        <f>'Aktuelle data'!AF10</f>
        <v>903.67027968000014</v>
      </c>
      <c r="I376" s="224"/>
      <c r="J376" s="58">
        <f>'Aktuelle data'!AG10</f>
        <v>5533.1286796800005</v>
      </c>
    </row>
    <row r="377" spans="2:12">
      <c r="C377" s="267">
        <v>3100</v>
      </c>
      <c r="D377" s="56">
        <f>'Aktuelle data'!AD11</f>
        <v>5125.4718000000003</v>
      </c>
      <c r="E377" s="224"/>
      <c r="F377" s="57">
        <f>'Aktuelle data'!AE11</f>
        <v>427.12265000000002</v>
      </c>
      <c r="G377" s="224"/>
      <c r="H377" s="57">
        <f>'Aktuelle data'!AF11</f>
        <v>1000.4920953600001</v>
      </c>
      <c r="I377" s="224"/>
      <c r="J377" s="58">
        <f>'Aktuelle data'!AG11</f>
        <v>6125.9638953600006</v>
      </c>
    </row>
    <row r="378" spans="2:12">
      <c r="C378" s="267">
        <v>3400</v>
      </c>
      <c r="D378" s="56">
        <f>'Aktuelle data'!AD12</f>
        <v>5621.4852000000001</v>
      </c>
      <c r="E378" s="224"/>
      <c r="F378" s="57">
        <f>'Aktuelle data'!AE12</f>
        <v>468.45710000000003</v>
      </c>
      <c r="G378" s="224"/>
      <c r="H378" s="57">
        <f>'Aktuelle data'!AF12</f>
        <v>1097.31391104</v>
      </c>
      <c r="I378" s="224"/>
      <c r="J378" s="58">
        <f>'Aktuelle data'!AG12</f>
        <v>6718.7991110399998</v>
      </c>
    </row>
    <row r="379" spans="2:12">
      <c r="C379" s="267">
        <v>3600</v>
      </c>
      <c r="D379" s="56">
        <f>'Aktuelle data'!AD13</f>
        <v>5952.1607999999997</v>
      </c>
      <c r="E379" s="224"/>
      <c r="F379" s="57">
        <f>'Aktuelle data'!AE13</f>
        <v>496.01339999999999</v>
      </c>
      <c r="G379" s="224"/>
      <c r="H379" s="57">
        <f>'Aktuelle data'!AF13</f>
        <v>1161.8617881599998</v>
      </c>
      <c r="I379" s="224"/>
      <c r="J379" s="58">
        <f>'Aktuelle data'!AG13</f>
        <v>7114.0225881599999</v>
      </c>
    </row>
    <row r="380" spans="2:12">
      <c r="C380" s="267">
        <v>3800</v>
      </c>
      <c r="D380" s="56">
        <f>'Aktuelle data'!AD14</f>
        <v>6282.8364000000001</v>
      </c>
      <c r="E380" s="224"/>
      <c r="F380" s="57">
        <f>'Aktuelle data'!AE14</f>
        <v>523.56970000000001</v>
      </c>
      <c r="G380" s="224"/>
      <c r="H380" s="57">
        <f>'Aktuelle data'!AF14</f>
        <v>1226.4096652800001</v>
      </c>
      <c r="I380" s="224"/>
      <c r="J380" s="58">
        <f>'Aktuelle data'!AG14</f>
        <v>7509.24606528</v>
      </c>
    </row>
    <row r="381" spans="2:12">
      <c r="C381" s="267">
        <v>4100</v>
      </c>
      <c r="D381" s="56">
        <f>'Aktuelle data'!AD15</f>
        <v>6778.8498</v>
      </c>
      <c r="E381" s="224"/>
      <c r="F381" s="57">
        <f>'Aktuelle data'!AE15</f>
        <v>564.90414999999996</v>
      </c>
      <c r="G381" s="224"/>
      <c r="H381" s="57">
        <f>'Aktuelle data'!AF15</f>
        <v>1323.23148096</v>
      </c>
      <c r="I381" s="224"/>
      <c r="J381" s="58">
        <f>'Aktuelle data'!AG15</f>
        <v>8102.0812809600002</v>
      </c>
    </row>
    <row r="382" spans="2:12">
      <c r="C382" s="267">
        <v>4300</v>
      </c>
      <c r="D382" s="56">
        <f>'Aktuelle data'!AD16</f>
        <v>7109.5254000000004</v>
      </c>
      <c r="E382" s="224"/>
      <c r="F382" s="57">
        <f>'Aktuelle data'!AE16</f>
        <v>592.46045000000004</v>
      </c>
      <c r="G382" s="224"/>
      <c r="H382" s="57">
        <f>'Aktuelle data'!AF16</f>
        <v>1387.7793580800001</v>
      </c>
      <c r="I382" s="224"/>
      <c r="J382" s="58">
        <f>'Aktuelle data'!AG16</f>
        <v>8497.3047580800012</v>
      </c>
    </row>
    <row r="383" spans="2:12">
      <c r="C383" s="267">
        <v>4800</v>
      </c>
      <c r="D383" s="56">
        <f>'Aktuelle data'!AD17</f>
        <v>7936.2143999999998</v>
      </c>
      <c r="E383" s="224"/>
      <c r="F383" s="57">
        <f>'Aktuelle data'!AE17</f>
        <v>661.35119999999995</v>
      </c>
      <c r="G383" s="224"/>
      <c r="H383" s="57">
        <f>'Aktuelle data'!AF17</f>
        <v>1549.14905088</v>
      </c>
      <c r="I383" s="224"/>
      <c r="J383" s="58">
        <f>'Aktuelle data'!AG17</f>
        <v>9485.3634508800005</v>
      </c>
    </row>
    <row r="384" spans="2:12">
      <c r="C384" s="267">
        <v>4900</v>
      </c>
      <c r="D384" s="56">
        <f>'Aktuelle data'!AD18</f>
        <v>8101.5522000000001</v>
      </c>
      <c r="E384" s="224"/>
      <c r="F384" s="57">
        <f>'Aktuelle data'!AE18</f>
        <v>675.12935000000004</v>
      </c>
      <c r="G384" s="224"/>
      <c r="H384" s="57">
        <f>'Aktuelle data'!AF18</f>
        <v>1581.42298944</v>
      </c>
      <c r="I384" s="224"/>
      <c r="J384" s="58">
        <f>'Aktuelle data'!AG18</f>
        <v>9682.9751894399997</v>
      </c>
    </row>
    <row r="385" spans="2:10">
      <c r="C385" s="267">
        <v>5200</v>
      </c>
      <c r="D385" s="56">
        <f>'Aktuelle data'!AD19</f>
        <v>8597.5655999999999</v>
      </c>
      <c r="E385" s="224"/>
      <c r="F385" s="57">
        <f>'Aktuelle data'!AE19</f>
        <v>716.46379999999999</v>
      </c>
      <c r="G385" s="224"/>
      <c r="H385" s="57">
        <f>'Aktuelle data'!AF19</f>
        <v>1678.2448051199999</v>
      </c>
      <c r="I385" s="224"/>
      <c r="J385" s="58">
        <f>'Aktuelle data'!AG19</f>
        <v>10275.810405119999</v>
      </c>
    </row>
    <row r="386" spans="2:10">
      <c r="C386" s="267">
        <v>6000</v>
      </c>
      <c r="D386" s="56">
        <f>'Aktuelle data'!AD20</f>
        <v>9920.268</v>
      </c>
      <c r="E386" s="224"/>
      <c r="F386" s="57">
        <f>'Aktuelle data'!AE20</f>
        <v>826.68899999999996</v>
      </c>
      <c r="G386" s="224"/>
      <c r="H386" s="57">
        <f>'Aktuelle data'!AF20</f>
        <v>1936.4363135999999</v>
      </c>
      <c r="I386" s="224"/>
      <c r="J386" s="58">
        <f>'Aktuelle data'!AG20</f>
        <v>11856.704313599999</v>
      </c>
    </row>
    <row r="387" spans="2:10">
      <c r="C387" s="267">
        <v>7000</v>
      </c>
      <c r="D387" s="56">
        <f>'Aktuelle data'!AD21</f>
        <v>11573.646000000001</v>
      </c>
      <c r="E387" s="224"/>
      <c r="F387" s="57">
        <f>'Aktuelle data'!AE21</f>
        <v>964.47050000000002</v>
      </c>
      <c r="G387" s="224"/>
      <c r="H387" s="57">
        <f>'Aktuelle data'!AF21</f>
        <v>2259.1756992000001</v>
      </c>
      <c r="I387" s="224"/>
      <c r="J387" s="58">
        <f>'Aktuelle data'!AG21</f>
        <v>13832.821699200002</v>
      </c>
    </row>
    <row r="388" spans="2:10">
      <c r="C388" s="59">
        <v>8100</v>
      </c>
      <c r="D388" s="56">
        <f>'Aktuelle data'!AD22</f>
        <v>13392.361800000001</v>
      </c>
      <c r="E388" s="224"/>
      <c r="F388" s="57">
        <f>'Aktuelle data'!AE22</f>
        <v>1116.03015</v>
      </c>
      <c r="G388" s="224"/>
      <c r="H388" s="57">
        <f>'Aktuelle data'!AF22</f>
        <v>2614.1890233600002</v>
      </c>
      <c r="I388" s="224"/>
      <c r="J388" s="58">
        <f>'Aktuelle data'!AG22</f>
        <v>16006.550823360001</v>
      </c>
    </row>
    <row r="389" spans="2:10">
      <c r="C389" s="59">
        <v>9100</v>
      </c>
      <c r="D389" s="56">
        <f>'Aktuelle data'!AD23</f>
        <v>15045.739799999999</v>
      </c>
      <c r="E389" s="224"/>
      <c r="F389" s="57">
        <f>'Aktuelle data'!AE23</f>
        <v>1253.8116499999999</v>
      </c>
      <c r="G389" s="224"/>
      <c r="H389" s="57">
        <f>'Aktuelle data'!AF23</f>
        <v>2936.9284089599996</v>
      </c>
      <c r="I389" s="224"/>
      <c r="J389" s="58">
        <f>'Aktuelle data'!AG23</f>
        <v>17982.66820896</v>
      </c>
    </row>
    <row r="390" spans="2:10">
      <c r="C390" s="59">
        <v>12000</v>
      </c>
      <c r="D390" s="56">
        <f>'Aktuelle data'!AD24</f>
        <v>19840.536</v>
      </c>
      <c r="E390" s="224"/>
      <c r="F390" s="57">
        <f>'Aktuelle data'!AE24</f>
        <v>1653.3779999999999</v>
      </c>
      <c r="G390" s="224"/>
      <c r="H390" s="57">
        <f>'Aktuelle data'!AF24</f>
        <v>3872.8726271999999</v>
      </c>
      <c r="I390" s="224"/>
      <c r="J390" s="58">
        <f>'Aktuelle data'!AG24</f>
        <v>23713.408627199999</v>
      </c>
    </row>
    <row r="391" spans="2:10">
      <c r="C391" s="59">
        <v>20300</v>
      </c>
      <c r="D391" s="56">
        <f>'Aktuelle data'!AD25</f>
        <v>33563.573400000001</v>
      </c>
      <c r="E391" s="224"/>
      <c r="F391" s="57">
        <f>'Aktuelle data'!AE25</f>
        <v>2796.9644499999999</v>
      </c>
      <c r="G391" s="224"/>
      <c r="H391" s="57">
        <f>'Aktuelle data'!AF25</f>
        <v>6551.6095276799997</v>
      </c>
      <c r="I391" s="224"/>
      <c r="J391" s="58">
        <f>'Aktuelle data'!AG25</f>
        <v>40115.182927679998</v>
      </c>
    </row>
    <row r="392" spans="2:10">
      <c r="C392" s="59">
        <v>30600</v>
      </c>
      <c r="D392" s="56">
        <f>'Aktuelle data'!AD26</f>
        <v>50593.366800000003</v>
      </c>
      <c r="E392" s="224"/>
      <c r="F392" s="57">
        <f>'Aktuelle data'!AE26</f>
        <v>4216.1139000000003</v>
      </c>
      <c r="G392" s="224"/>
      <c r="H392" s="57">
        <f>'Aktuelle data'!AF26</f>
        <v>9875.8251993600006</v>
      </c>
      <c r="I392" s="224"/>
      <c r="J392" s="58">
        <f>'Aktuelle data'!AG26</f>
        <v>60469.191999360002</v>
      </c>
    </row>
    <row r="393" spans="2:10" ht="16" thickBot="1">
      <c r="B393" s="21" t="s">
        <v>223</v>
      </c>
      <c r="C393" s="45">
        <v>41000</v>
      </c>
      <c r="D393" s="56">
        <f>'Aktuelle data'!AD27</f>
        <v>67788.498000000007</v>
      </c>
      <c r="E393" s="251"/>
      <c r="F393" s="57">
        <f>'Aktuelle data'!AE27</f>
        <v>5649.0415000000003</v>
      </c>
      <c r="G393" s="251"/>
      <c r="H393" s="57">
        <f>'Aktuelle data'!AF27</f>
        <v>13232.3148096</v>
      </c>
      <c r="I393" s="251"/>
      <c r="J393" s="58">
        <f>'Aktuelle data'!AG27</f>
        <v>81020.8128096</v>
      </c>
    </row>
    <row r="394" spans="2:10">
      <c r="B394" s="268"/>
    </row>
    <row r="395" spans="2:10">
      <c r="B395" s="35" t="s">
        <v>317</v>
      </c>
    </row>
    <row r="427" spans="2:12" ht="21">
      <c r="B427" s="498" t="s">
        <v>276</v>
      </c>
      <c r="C427" s="498"/>
      <c r="D427" s="498"/>
      <c r="E427" s="498"/>
      <c r="F427" s="498"/>
      <c r="G427" s="498"/>
      <c r="H427" s="498"/>
      <c r="I427" s="498"/>
      <c r="J427" s="498"/>
      <c r="K427" s="498"/>
      <c r="L427" s="498"/>
    </row>
    <row r="428" spans="2:12" ht="16" thickBot="1"/>
    <row r="429" spans="2:12">
      <c r="B429" s="434" t="s">
        <v>225</v>
      </c>
      <c r="C429" s="435"/>
      <c r="D429" s="435"/>
      <c r="E429" s="435"/>
      <c r="F429" s="435"/>
      <c r="G429" s="435"/>
      <c r="H429" s="435"/>
      <c r="I429" s="435"/>
      <c r="J429" s="233"/>
    </row>
    <row r="430" spans="2:12">
      <c r="B430" s="452" t="s">
        <v>263</v>
      </c>
      <c r="C430" s="453"/>
      <c r="D430" s="453"/>
      <c r="E430" s="453"/>
      <c r="J430" s="235"/>
    </row>
    <row r="431" spans="2:12" ht="16" thickBot="1">
      <c r="B431" s="455" t="s">
        <v>264</v>
      </c>
      <c r="C431" s="456"/>
      <c r="D431" s="456"/>
      <c r="E431" s="456"/>
      <c r="F431" s="456"/>
      <c r="G431" s="456"/>
      <c r="H431" s="456"/>
      <c r="I431" s="456"/>
      <c r="J431" s="457"/>
    </row>
    <row r="432" spans="2:12" ht="16" thickBot="1"/>
    <row r="433" spans="2:13">
      <c r="B433" s="499" t="s">
        <v>252</v>
      </c>
      <c r="C433" s="500"/>
      <c r="D433" s="500"/>
      <c r="E433" s="500"/>
      <c r="F433" s="500"/>
      <c r="G433" s="500"/>
      <c r="H433" s="500"/>
      <c r="I433" s="500"/>
      <c r="J433" s="500"/>
      <c r="K433" s="500"/>
      <c r="L433" s="501"/>
    </row>
    <row r="434" spans="2:13">
      <c r="B434" s="515" t="s">
        <v>32</v>
      </c>
      <c r="C434" s="516"/>
      <c r="D434" s="224"/>
      <c r="E434" s="224"/>
      <c r="F434" s="224"/>
      <c r="G434" s="224"/>
      <c r="H434" s="224"/>
      <c r="I434" s="224"/>
      <c r="J434" s="224"/>
      <c r="K434" s="224"/>
      <c r="L434" s="270">
        <f>'Aktuelle data'!E29</f>
        <v>635433</v>
      </c>
    </row>
    <row r="435" spans="2:13">
      <c r="B435" s="269" t="s">
        <v>226</v>
      </c>
      <c r="C435" s="245"/>
      <c r="D435" s="245"/>
      <c r="E435" s="245"/>
      <c r="F435" s="271">
        <v>30000</v>
      </c>
      <c r="G435" s="224" t="s">
        <v>207</v>
      </c>
      <c r="H435" s="224">
        <f>'Aktuelle data'!C37</f>
        <v>1.653378</v>
      </c>
      <c r="I435" s="224"/>
      <c r="J435" s="224"/>
      <c r="K435" s="224" t="s">
        <v>215</v>
      </c>
      <c r="L435" s="270">
        <f>30000*'Aktuelle data'!C37</f>
        <v>49601.340000000004</v>
      </c>
    </row>
    <row r="436" spans="2:13">
      <c r="B436" s="64" t="s">
        <v>33</v>
      </c>
      <c r="C436" s="224"/>
      <c r="D436" s="224"/>
      <c r="E436" s="224"/>
      <c r="F436" s="224"/>
      <c r="G436" s="224"/>
      <c r="H436" s="224"/>
      <c r="I436" s="224"/>
      <c r="J436" s="224"/>
      <c r="K436" s="224"/>
      <c r="L436" s="49">
        <f>SUM(L434:L435)</f>
        <v>685034.34</v>
      </c>
    </row>
    <row r="437" spans="2:13" ht="16" thickBot="1">
      <c r="B437" s="512" t="s">
        <v>34</v>
      </c>
      <c r="C437" s="513"/>
      <c r="D437" s="251"/>
      <c r="E437" s="251"/>
      <c r="F437" s="251"/>
      <c r="G437" s="251"/>
      <c r="H437" s="251"/>
      <c r="I437" s="251"/>
      <c r="J437" s="251"/>
      <c r="K437" s="251"/>
      <c r="L437" s="48">
        <f>L436/12</f>
        <v>57086.195</v>
      </c>
    </row>
    <row r="439" spans="2:13" ht="21">
      <c r="B439" s="514" t="s">
        <v>318</v>
      </c>
      <c r="C439" s="514"/>
      <c r="D439" s="514"/>
      <c r="E439" s="514"/>
      <c r="F439" s="514"/>
      <c r="G439" s="514"/>
      <c r="H439" s="514"/>
      <c r="I439" s="514"/>
      <c r="J439" s="514"/>
      <c r="K439" s="514"/>
      <c r="L439" s="514"/>
      <c r="M439" s="272"/>
    </row>
    <row r="440" spans="2:13" ht="21">
      <c r="B440" s="265"/>
      <c r="C440" s="265"/>
      <c r="D440" s="265"/>
      <c r="E440" s="265"/>
      <c r="F440" s="265"/>
      <c r="G440" s="265"/>
      <c r="H440" s="265"/>
      <c r="I440" s="265"/>
      <c r="J440" s="265"/>
      <c r="K440" s="265"/>
      <c r="L440" s="265"/>
      <c r="M440" s="272"/>
    </row>
    <row r="441" spans="2:13">
      <c r="B441" s="510" t="s">
        <v>230</v>
      </c>
      <c r="C441" s="510"/>
      <c r="D441" s="510"/>
      <c r="E441" s="510"/>
      <c r="F441" s="510"/>
      <c r="G441" s="510"/>
      <c r="H441" s="510"/>
      <c r="I441" s="510"/>
      <c r="J441" s="510"/>
      <c r="K441" s="510"/>
      <c r="L441" s="149">
        <f>'Aktuelle data'!C39</f>
        <v>19.52</v>
      </c>
    </row>
    <row r="442" spans="2:13" ht="30.25" customHeight="1">
      <c r="B442" s="413" t="s">
        <v>231</v>
      </c>
      <c r="C442" s="413"/>
      <c r="D442" s="413"/>
      <c r="E442" s="413"/>
      <c r="F442" s="413"/>
      <c r="G442" s="413"/>
      <c r="H442" s="413"/>
      <c r="I442" s="413"/>
      <c r="J442" s="413"/>
      <c r="K442" s="413"/>
      <c r="L442" s="413"/>
      <c r="M442" s="413"/>
    </row>
    <row r="444" spans="2:13" ht="31" customHeight="1">
      <c r="B444" s="511" t="s">
        <v>319</v>
      </c>
      <c r="C444" s="511"/>
      <c r="D444" s="511"/>
      <c r="E444" s="511"/>
      <c r="F444" s="511"/>
      <c r="G444" s="511"/>
      <c r="H444" s="511"/>
      <c r="I444" s="511"/>
      <c r="J444" s="511"/>
      <c r="K444" s="511"/>
      <c r="L444" s="511"/>
    </row>
    <row r="445" spans="2:13" ht="16" thickBot="1">
      <c r="B445" s="236"/>
    </row>
    <row r="446" spans="2:13" ht="64">
      <c r="B446" s="88" t="s">
        <v>233</v>
      </c>
      <c r="C446" s="508">
        <f>'Aktuelle data'!S29</f>
        <v>650421</v>
      </c>
      <c r="D446" s="508"/>
      <c r="E446" s="273" t="s">
        <v>207</v>
      </c>
      <c r="F446" s="274">
        <f>'Aktuelle data'!C39</f>
        <v>19.52</v>
      </c>
      <c r="G446" s="275" t="s">
        <v>217</v>
      </c>
      <c r="H446" s="273">
        <v>100</v>
      </c>
      <c r="I446" s="273"/>
      <c r="J446" s="273"/>
      <c r="K446" s="275" t="s">
        <v>215</v>
      </c>
      <c r="L446" s="276">
        <f>'Aktuelle data'!S29*'Aktuelle data'!C39/100</f>
        <v>126962.1792</v>
      </c>
    </row>
    <row r="447" spans="2:13" ht="64">
      <c r="B447" s="88" t="s">
        <v>232</v>
      </c>
      <c r="C447" s="509">
        <v>30000</v>
      </c>
      <c r="D447" s="509"/>
      <c r="E447" s="224" t="s">
        <v>207</v>
      </c>
      <c r="F447" s="224">
        <f>'Aktuelle data'!C37</f>
        <v>1.653378</v>
      </c>
      <c r="G447" s="224" t="s">
        <v>207</v>
      </c>
      <c r="H447" s="277">
        <f>'Aktuelle data'!C39</f>
        <v>19.52</v>
      </c>
      <c r="I447" s="224" t="s">
        <v>217</v>
      </c>
      <c r="J447" s="278">
        <v>100</v>
      </c>
      <c r="K447" s="224" t="s">
        <v>215</v>
      </c>
      <c r="L447" s="270">
        <f>30000*'Aktuelle data'!C37*'Aktuelle data'!C39/100</f>
        <v>9682.181568</v>
      </c>
    </row>
    <row r="448" spans="2:13" ht="48">
      <c r="B448" s="89" t="s">
        <v>234</v>
      </c>
      <c r="C448" s="224"/>
      <c r="D448" s="224"/>
      <c r="E448" s="224"/>
      <c r="F448" s="224"/>
      <c r="G448" s="224"/>
      <c r="H448" s="224"/>
      <c r="I448" s="224"/>
      <c r="J448" s="224"/>
      <c r="K448" s="224"/>
      <c r="L448" s="49">
        <f>SUM(L446:L447)</f>
        <v>136644.36076800001</v>
      </c>
    </row>
    <row r="449" spans="2:12" ht="49" thickBot="1">
      <c r="B449" s="90" t="s">
        <v>235</v>
      </c>
      <c r="C449" s="251"/>
      <c r="D449" s="251"/>
      <c r="E449" s="251"/>
      <c r="F449" s="251"/>
      <c r="G449" s="251"/>
      <c r="H449" s="251"/>
      <c r="I449" s="251"/>
      <c r="J449" s="251"/>
      <c r="K449" s="251"/>
      <c r="L449" s="48">
        <f>L448/12</f>
        <v>11387.030064</v>
      </c>
    </row>
    <row r="450" spans="2:12">
      <c r="B450" s="279"/>
      <c r="C450" s="39"/>
      <c r="D450" s="280"/>
    </row>
    <row r="451" spans="2:12">
      <c r="B451" s="279"/>
      <c r="C451" s="281"/>
      <c r="D451" s="282"/>
    </row>
    <row r="452" spans="2:12">
      <c r="B452" s="283"/>
      <c r="C452" s="39"/>
      <c r="D452" s="284"/>
    </row>
    <row r="453" spans="2:12">
      <c r="B453" s="283"/>
      <c r="C453" s="39"/>
      <c r="D453" s="284"/>
    </row>
    <row r="479" spans="2:8" ht="21">
      <c r="B479" s="497" t="s">
        <v>321</v>
      </c>
      <c r="C479" s="497"/>
      <c r="D479" s="497"/>
      <c r="E479" s="497"/>
      <c r="F479" s="497"/>
      <c r="G479" s="497"/>
      <c r="H479" s="497"/>
    </row>
    <row r="480" spans="2:8" ht="16" thickBot="1"/>
    <row r="481" spans="2:12" ht="15.75" customHeight="1">
      <c r="B481" s="481" t="s">
        <v>258</v>
      </c>
      <c r="C481" s="482"/>
      <c r="D481" s="482"/>
      <c r="E481" s="482"/>
      <c r="F481" s="482"/>
      <c r="G481" s="482"/>
      <c r="H481" s="482"/>
      <c r="I481" s="482"/>
      <c r="J481" s="482"/>
      <c r="K481" s="483">
        <v>0.25</v>
      </c>
      <c r="L481" s="484"/>
    </row>
    <row r="482" spans="2:12" ht="30.75" customHeight="1">
      <c r="B482" s="485" t="s">
        <v>259</v>
      </c>
      <c r="C482" s="486"/>
      <c r="D482" s="486"/>
      <c r="E482" s="486"/>
      <c r="F482" s="486"/>
      <c r="G482" s="486"/>
      <c r="H482" s="486"/>
      <c r="I482" s="486"/>
      <c r="J482" s="487"/>
      <c r="K482" s="488" t="s">
        <v>241</v>
      </c>
      <c r="L482" s="489"/>
    </row>
    <row r="483" spans="2:12" ht="14.5" customHeight="1">
      <c r="B483" s="485"/>
      <c r="C483" s="486"/>
      <c r="D483" s="486"/>
      <c r="E483" s="486"/>
      <c r="F483" s="486"/>
      <c r="G483" s="486"/>
      <c r="H483" s="486"/>
      <c r="I483" s="486"/>
      <c r="J483" s="487"/>
      <c r="K483" s="490" t="s">
        <v>240</v>
      </c>
      <c r="L483" s="491"/>
    </row>
    <row r="484" spans="2:12" ht="14.5" customHeight="1">
      <c r="B484" s="485"/>
      <c r="C484" s="486"/>
      <c r="D484" s="486"/>
      <c r="E484" s="486"/>
      <c r="F484" s="486"/>
      <c r="G484" s="486"/>
      <c r="H484" s="486"/>
      <c r="I484" s="486"/>
      <c r="J484" s="487"/>
      <c r="K484" s="473" t="s">
        <v>236</v>
      </c>
      <c r="L484" s="474"/>
    </row>
    <row r="485" spans="2:12" ht="16">
      <c r="B485" s="485" t="s">
        <v>237</v>
      </c>
      <c r="C485" s="486"/>
      <c r="D485" s="486"/>
      <c r="E485" s="486"/>
      <c r="F485" s="486"/>
      <c r="G485" s="486"/>
      <c r="H485" s="486"/>
      <c r="I485" s="486"/>
      <c r="J485" s="487"/>
      <c r="K485" s="319" t="s">
        <v>214</v>
      </c>
      <c r="L485" s="336">
        <f>'Aktuelle data'!G37*'Aktuelle data'!C37</f>
        <v>89.282411999999994</v>
      </c>
    </row>
    <row r="486" spans="2:12" ht="15.25" customHeight="1">
      <c r="B486" s="485" t="s">
        <v>253</v>
      </c>
      <c r="C486" s="486"/>
      <c r="D486" s="486"/>
      <c r="E486" s="486"/>
      <c r="F486" s="486"/>
      <c r="G486" s="486"/>
      <c r="H486" s="486"/>
      <c r="I486" s="486"/>
      <c r="J486" s="486"/>
      <c r="K486" s="285"/>
      <c r="L486" s="286">
        <f>'Aktuelle data'!G38*'Aktuelle data'!C37</f>
        <v>9.62265996</v>
      </c>
    </row>
    <row r="487" spans="2:12" ht="29.25" customHeight="1">
      <c r="B487" s="485"/>
      <c r="C487" s="486"/>
      <c r="D487" s="486"/>
      <c r="E487" s="486"/>
      <c r="F487" s="486"/>
      <c r="G487" s="486"/>
      <c r="H487" s="486"/>
      <c r="I487" s="486"/>
      <c r="J487" s="486"/>
      <c r="K487" s="495" t="s">
        <v>247</v>
      </c>
      <c r="L487" s="496"/>
    </row>
    <row r="488" spans="2:12" ht="14.5" customHeight="1">
      <c r="B488" s="475" t="s">
        <v>246</v>
      </c>
      <c r="C488" s="476"/>
      <c r="D488" s="476"/>
      <c r="E488" s="476"/>
      <c r="F488" s="476"/>
      <c r="G488" s="476"/>
      <c r="H488" s="476"/>
      <c r="I488" s="476"/>
      <c r="J488" s="477"/>
      <c r="K488" s="287"/>
      <c r="L488" s="288">
        <f>'Aktuelle data'!G39*'Aktuelle data'!C37</f>
        <v>210.52462073999999</v>
      </c>
    </row>
    <row r="489" spans="2:12" ht="14.75" customHeight="1">
      <c r="B489" s="492"/>
      <c r="C489" s="493"/>
      <c r="D489" s="493"/>
      <c r="E489" s="493"/>
      <c r="F489" s="493"/>
      <c r="G489" s="493"/>
      <c r="H489" s="493"/>
      <c r="I489" s="493"/>
      <c r="J489" s="494"/>
      <c r="K489" s="473" t="s">
        <v>238</v>
      </c>
      <c r="L489" s="474"/>
    </row>
    <row r="490" spans="2:12">
      <c r="B490" s="475" t="s">
        <v>239</v>
      </c>
      <c r="C490" s="476"/>
      <c r="D490" s="476"/>
      <c r="E490" s="476"/>
      <c r="F490" s="476"/>
      <c r="G490" s="476"/>
      <c r="H490" s="476"/>
      <c r="I490" s="476"/>
      <c r="J490" s="477"/>
      <c r="K490" s="289"/>
      <c r="L490" s="290">
        <f>'Aktuelle data'!G40*'Aktuelle data'!C37</f>
        <v>478.85133636</v>
      </c>
    </row>
    <row r="491" spans="2:12" ht="17" thickBot="1">
      <c r="B491" s="478"/>
      <c r="C491" s="479"/>
      <c r="D491" s="479"/>
      <c r="E491" s="479"/>
      <c r="F491" s="479"/>
      <c r="G491" s="479"/>
      <c r="H491" s="479"/>
      <c r="I491" s="479"/>
      <c r="J491" s="480"/>
      <c r="K491" s="230"/>
      <c r="L491" s="291" t="s">
        <v>238</v>
      </c>
    </row>
    <row r="493" spans="2:12" ht="30.75" customHeight="1">
      <c r="B493" s="413" t="s">
        <v>320</v>
      </c>
      <c r="C493" s="413"/>
      <c r="D493" s="413"/>
      <c r="E493" s="413"/>
      <c r="F493" s="413"/>
      <c r="G493" s="413"/>
      <c r="H493" s="413"/>
      <c r="I493" s="413"/>
      <c r="J493" s="413"/>
      <c r="K493" s="413"/>
      <c r="L493" s="413"/>
    </row>
    <row r="495" spans="2:12" ht="21">
      <c r="B495" s="414" t="s">
        <v>248</v>
      </c>
      <c r="C495" s="414"/>
      <c r="D495" s="414"/>
      <c r="E495" s="414"/>
      <c r="F495" s="414"/>
      <c r="G495" s="414"/>
      <c r="H495" s="414"/>
      <c r="I495" s="414"/>
      <c r="J495" s="414"/>
      <c r="K495" s="414"/>
      <c r="L495" s="414"/>
    </row>
    <row r="496" spans="2:12" ht="16" thickBot="1"/>
    <row r="497" spans="1:12" ht="16">
      <c r="B497" s="91" t="s">
        <v>249</v>
      </c>
      <c r="C497" s="292">
        <f>'Aktuelle data'!C41</f>
        <v>3.94</v>
      </c>
      <c r="D497" s="293" t="s">
        <v>265</v>
      </c>
    </row>
    <row r="498" spans="1:12" ht="17" thickBot="1">
      <c r="B498" s="92" t="s">
        <v>250</v>
      </c>
      <c r="C498" s="294">
        <f>'Aktuelle data'!C40</f>
        <v>2.2799999999999998</v>
      </c>
      <c r="D498" s="295" t="s">
        <v>265</v>
      </c>
    </row>
    <row r="500" spans="1:12" ht="21">
      <c r="A500" s="1"/>
      <c r="B500" s="415" t="s">
        <v>322</v>
      </c>
      <c r="C500" s="415"/>
    </row>
    <row r="501" spans="1:12" ht="21">
      <c r="A501" s="1"/>
      <c r="B501" s="94">
        <f>'Aktuelle data'!B66</f>
        <v>2025</v>
      </c>
      <c r="C501" s="94"/>
    </row>
    <row r="502" spans="1:12" ht="22" thickBot="1">
      <c r="A502" s="94"/>
    </row>
    <row r="503" spans="1:12" s="1" customFormat="1" ht="33.25" customHeight="1">
      <c r="A503"/>
      <c r="B503" s="140" t="s">
        <v>17</v>
      </c>
      <c r="C503" s="141"/>
      <c r="D503" s="400" t="s">
        <v>255</v>
      </c>
      <c r="E503" s="400"/>
      <c r="F503" s="400"/>
      <c r="G503" s="403" t="s">
        <v>257</v>
      </c>
      <c r="H503" s="404"/>
      <c r="I503" s="405"/>
      <c r="J503" s="400" t="s">
        <v>256</v>
      </c>
      <c r="K503" s="400"/>
      <c r="L503" s="93" t="s">
        <v>21</v>
      </c>
    </row>
    <row r="504" spans="1:12">
      <c r="B504" s="142" t="s">
        <v>23</v>
      </c>
      <c r="C504" s="143"/>
      <c r="D504" s="412" t="s">
        <v>24</v>
      </c>
      <c r="E504" s="412"/>
      <c r="F504" s="412"/>
      <c r="G504" s="406">
        <f>'Aktuelle data'!AL5</f>
        <v>99</v>
      </c>
      <c r="H504" s="407"/>
      <c r="I504" s="408"/>
      <c r="J504" s="401">
        <f>'Aktuelle data'!AM5</f>
        <v>198</v>
      </c>
      <c r="K504" s="401"/>
      <c r="L504" s="51">
        <f>'Aktuelle data'!AN5</f>
        <v>297</v>
      </c>
    </row>
    <row r="505" spans="1:12">
      <c r="B505" s="52" t="s">
        <v>26</v>
      </c>
      <c r="C505" s="296"/>
      <c r="D505" s="412" t="s">
        <v>27</v>
      </c>
      <c r="E505" s="412"/>
      <c r="F505" s="412"/>
      <c r="G505" s="406">
        <f>'Aktuelle data'!AL6</f>
        <v>66</v>
      </c>
      <c r="H505" s="407"/>
      <c r="I505" s="408"/>
      <c r="J505" s="401">
        <f>'Aktuelle data'!AM6</f>
        <v>132</v>
      </c>
      <c r="K505" s="401"/>
      <c r="L505" s="51">
        <f>'Aktuelle data'!AN6</f>
        <v>198</v>
      </c>
    </row>
    <row r="506" spans="1:12">
      <c r="B506" s="142" t="s">
        <v>28</v>
      </c>
      <c r="C506" s="143"/>
      <c r="D506" s="412" t="s">
        <v>29</v>
      </c>
      <c r="E506" s="412"/>
      <c r="F506" s="412"/>
      <c r="G506" s="406">
        <f>'Aktuelle data'!AL7</f>
        <v>33</v>
      </c>
      <c r="H506" s="407"/>
      <c r="I506" s="408"/>
      <c r="J506" s="401">
        <f>'Aktuelle data'!AM7</f>
        <v>66</v>
      </c>
      <c r="K506" s="401"/>
      <c r="L506" s="51">
        <f>'Aktuelle data'!AN7</f>
        <v>99</v>
      </c>
    </row>
    <row r="507" spans="1:12" ht="16" thickBot="1">
      <c r="B507" s="53" t="s">
        <v>30</v>
      </c>
      <c r="C507" s="297"/>
      <c r="D507" s="399" t="s">
        <v>31</v>
      </c>
      <c r="E507" s="399"/>
      <c r="F507" s="399"/>
      <c r="G507" s="409">
        <f>'Aktuelle data'!AL8</f>
        <v>0</v>
      </c>
      <c r="H507" s="410"/>
      <c r="I507" s="411"/>
      <c r="J507" s="402">
        <f>'Aktuelle data'!AM8</f>
        <v>0</v>
      </c>
      <c r="K507" s="402"/>
      <c r="L507" s="54">
        <f>'Aktuelle data'!AN8</f>
        <v>0</v>
      </c>
    </row>
  </sheetData>
  <mergeCells count="506">
    <mergeCell ref="D162:E162"/>
    <mergeCell ref="F162:G162"/>
    <mergeCell ref="H162:I162"/>
    <mergeCell ref="C2:L2"/>
    <mergeCell ref="C67:L67"/>
    <mergeCell ref="C132:L132"/>
    <mergeCell ref="C131:L131"/>
    <mergeCell ref="D159:E159"/>
    <mergeCell ref="F159:G159"/>
    <mergeCell ref="H159:I159"/>
    <mergeCell ref="D160:E160"/>
    <mergeCell ref="F160:G160"/>
    <mergeCell ref="H160:I160"/>
    <mergeCell ref="D161:E161"/>
    <mergeCell ref="F161:G161"/>
    <mergeCell ref="H161:I161"/>
    <mergeCell ref="D156:E156"/>
    <mergeCell ref="F156:G156"/>
    <mergeCell ref="H156:I156"/>
    <mergeCell ref="D157:E157"/>
    <mergeCell ref="F157:G157"/>
    <mergeCell ref="H157:I157"/>
    <mergeCell ref="D158:E158"/>
    <mergeCell ref="F158:G158"/>
    <mergeCell ref="D152:E152"/>
    <mergeCell ref="F152:G152"/>
    <mergeCell ref="H152:I152"/>
    <mergeCell ref="H158:I158"/>
    <mergeCell ref="D153:E153"/>
    <mergeCell ref="F153:G153"/>
    <mergeCell ref="H153:I153"/>
    <mergeCell ref="D154:E154"/>
    <mergeCell ref="F154:G154"/>
    <mergeCell ref="H154:I154"/>
    <mergeCell ref="D155:E155"/>
    <mergeCell ref="F155:G155"/>
    <mergeCell ref="H155:I155"/>
    <mergeCell ref="D149:E149"/>
    <mergeCell ref="F149:G149"/>
    <mergeCell ref="H149:I149"/>
    <mergeCell ref="D150:E150"/>
    <mergeCell ref="F150:G150"/>
    <mergeCell ref="H150:I150"/>
    <mergeCell ref="D151:E151"/>
    <mergeCell ref="F151:G151"/>
    <mergeCell ref="H151:I151"/>
    <mergeCell ref="D146:E146"/>
    <mergeCell ref="F146:G146"/>
    <mergeCell ref="H146:I146"/>
    <mergeCell ref="D147:E147"/>
    <mergeCell ref="F147:G147"/>
    <mergeCell ref="H147:I147"/>
    <mergeCell ref="D148:E148"/>
    <mergeCell ref="F148:G148"/>
    <mergeCell ref="H148:I148"/>
    <mergeCell ref="D143:E143"/>
    <mergeCell ref="F143:G143"/>
    <mergeCell ref="H143:I143"/>
    <mergeCell ref="D144:E144"/>
    <mergeCell ref="F144:G144"/>
    <mergeCell ref="H144:I144"/>
    <mergeCell ref="D145:E145"/>
    <mergeCell ref="F145:G145"/>
    <mergeCell ref="H145:I145"/>
    <mergeCell ref="D140:E140"/>
    <mergeCell ref="F140:G140"/>
    <mergeCell ref="H140:I140"/>
    <mergeCell ref="D141:E141"/>
    <mergeCell ref="F141:G141"/>
    <mergeCell ref="H141:I141"/>
    <mergeCell ref="D142:E142"/>
    <mergeCell ref="F142:G142"/>
    <mergeCell ref="H142:I142"/>
    <mergeCell ref="D75:E75"/>
    <mergeCell ref="D76:E76"/>
    <mergeCell ref="D77:E77"/>
    <mergeCell ref="F91:G91"/>
    <mergeCell ref="D78:E78"/>
    <mergeCell ref="D79:E79"/>
    <mergeCell ref="F70:G70"/>
    <mergeCell ref="F71:G71"/>
    <mergeCell ref="F72:G72"/>
    <mergeCell ref="D80:E80"/>
    <mergeCell ref="D81:E81"/>
    <mergeCell ref="D82:E82"/>
    <mergeCell ref="F81:G81"/>
    <mergeCell ref="F82:G82"/>
    <mergeCell ref="D83:E83"/>
    <mergeCell ref="D84:E84"/>
    <mergeCell ref="F83:G83"/>
    <mergeCell ref="F84:G84"/>
    <mergeCell ref="F78:G78"/>
    <mergeCell ref="D85:E85"/>
    <mergeCell ref="D86:E86"/>
    <mergeCell ref="D91:E91"/>
    <mergeCell ref="F85:G85"/>
    <mergeCell ref="F86:G86"/>
    <mergeCell ref="D87:E87"/>
    <mergeCell ref="D88:E88"/>
    <mergeCell ref="D89:E89"/>
    <mergeCell ref="D90:E90"/>
    <mergeCell ref="F87:G87"/>
    <mergeCell ref="F88:G88"/>
    <mergeCell ref="F89:G89"/>
    <mergeCell ref="F90:G90"/>
    <mergeCell ref="H87:I87"/>
    <mergeCell ref="H88:I88"/>
    <mergeCell ref="H89:I89"/>
    <mergeCell ref="H90:I90"/>
    <mergeCell ref="H82:I82"/>
    <mergeCell ref="H83:I83"/>
    <mergeCell ref="H84:I84"/>
    <mergeCell ref="H81:I81"/>
    <mergeCell ref="H28:I28"/>
    <mergeCell ref="H29:I29"/>
    <mergeCell ref="H30:I30"/>
    <mergeCell ref="H31:I31"/>
    <mergeCell ref="H32:I32"/>
    <mergeCell ref="H70:I70"/>
    <mergeCell ref="H71:I71"/>
    <mergeCell ref="H72:I72"/>
    <mergeCell ref="H73:I73"/>
    <mergeCell ref="H74:I74"/>
    <mergeCell ref="H75:I75"/>
    <mergeCell ref="H76:I76"/>
    <mergeCell ref="H77:I77"/>
    <mergeCell ref="H78:I78"/>
    <mergeCell ref="H79:I79"/>
    <mergeCell ref="H80:I80"/>
    <mergeCell ref="H85:I85"/>
    <mergeCell ref="H86:I86"/>
    <mergeCell ref="B35:J35"/>
    <mergeCell ref="B36:J36"/>
    <mergeCell ref="B37:J37"/>
    <mergeCell ref="F79:G79"/>
    <mergeCell ref="F80:G80"/>
    <mergeCell ref="F73:G73"/>
    <mergeCell ref="F74:G74"/>
    <mergeCell ref="F75:G75"/>
    <mergeCell ref="F76:G76"/>
    <mergeCell ref="F77:G77"/>
    <mergeCell ref="D70:E70"/>
    <mergeCell ref="D71:E71"/>
    <mergeCell ref="D72:E72"/>
    <mergeCell ref="D73:E73"/>
    <mergeCell ref="D74:E74"/>
    <mergeCell ref="J82:K82"/>
    <mergeCell ref="J83:K83"/>
    <mergeCell ref="J84:K84"/>
    <mergeCell ref="J85:K85"/>
    <mergeCell ref="J86:K86"/>
    <mergeCell ref="J69:K69"/>
    <mergeCell ref="J70:K70"/>
    <mergeCell ref="F32:G3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F23:G23"/>
    <mergeCell ref="F24:G24"/>
    <mergeCell ref="F25:G25"/>
    <mergeCell ref="F26:G26"/>
    <mergeCell ref="F27:G27"/>
    <mergeCell ref="F28:G28"/>
    <mergeCell ref="F29:G29"/>
    <mergeCell ref="F30:G30"/>
    <mergeCell ref="F31:G31"/>
    <mergeCell ref="F13:G13"/>
    <mergeCell ref="F14:G14"/>
    <mergeCell ref="F15:G15"/>
    <mergeCell ref="F16:G16"/>
    <mergeCell ref="F17:G17"/>
    <mergeCell ref="F18:G18"/>
    <mergeCell ref="F19:G19"/>
    <mergeCell ref="F20:G20"/>
    <mergeCell ref="F21:G21"/>
    <mergeCell ref="D5:E5"/>
    <mergeCell ref="D6:E6"/>
    <mergeCell ref="D7:E7"/>
    <mergeCell ref="D8:E8"/>
    <mergeCell ref="D9:E9"/>
    <mergeCell ref="D10:E10"/>
    <mergeCell ref="D11:E11"/>
    <mergeCell ref="D12:E12"/>
    <mergeCell ref="F5:G5"/>
    <mergeCell ref="F6:G6"/>
    <mergeCell ref="F7:G7"/>
    <mergeCell ref="F8:G8"/>
    <mergeCell ref="F9:G9"/>
    <mergeCell ref="F10:G10"/>
    <mergeCell ref="F11:G11"/>
    <mergeCell ref="F12:G12"/>
    <mergeCell ref="D13:E13"/>
    <mergeCell ref="D14:E14"/>
    <mergeCell ref="D15:E15"/>
    <mergeCell ref="D16:E16"/>
    <mergeCell ref="D17:E17"/>
    <mergeCell ref="D18:E18"/>
    <mergeCell ref="D19:E19"/>
    <mergeCell ref="D20:E20"/>
    <mergeCell ref="D21:E21"/>
    <mergeCell ref="D22:E22"/>
    <mergeCell ref="D23:E23"/>
    <mergeCell ref="J30:K30"/>
    <mergeCell ref="J31:K31"/>
    <mergeCell ref="J32:K32"/>
    <mergeCell ref="J21:K21"/>
    <mergeCell ref="J22:K22"/>
    <mergeCell ref="J23:K23"/>
    <mergeCell ref="J24:K24"/>
    <mergeCell ref="J25:K25"/>
    <mergeCell ref="J26:K26"/>
    <mergeCell ref="J27:K27"/>
    <mergeCell ref="J28:K28"/>
    <mergeCell ref="J29:K29"/>
    <mergeCell ref="D24:E24"/>
    <mergeCell ref="D25:E25"/>
    <mergeCell ref="D26:E26"/>
    <mergeCell ref="D27:E27"/>
    <mergeCell ref="D28:E28"/>
    <mergeCell ref="D29:E29"/>
    <mergeCell ref="D30:E30"/>
    <mergeCell ref="D31:E31"/>
    <mergeCell ref="D32:E32"/>
    <mergeCell ref="F22:G22"/>
    <mergeCell ref="J161:K161"/>
    <mergeCell ref="J162:K162"/>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152:K152"/>
    <mergeCell ref="J153:K153"/>
    <mergeCell ref="J154:K154"/>
    <mergeCell ref="J155:K155"/>
    <mergeCell ref="J157:K157"/>
    <mergeCell ref="J140:K140"/>
    <mergeCell ref="J141:K141"/>
    <mergeCell ref="J142:K142"/>
    <mergeCell ref="J156:K156"/>
    <mergeCell ref="J158:K158"/>
    <mergeCell ref="J159:K159"/>
    <mergeCell ref="J160:K160"/>
    <mergeCell ref="J143:K143"/>
    <mergeCell ref="J144:K144"/>
    <mergeCell ref="J145:K145"/>
    <mergeCell ref="J146:K146"/>
    <mergeCell ref="J147:K147"/>
    <mergeCell ref="J148:K148"/>
    <mergeCell ref="J149:K149"/>
    <mergeCell ref="J150:K150"/>
    <mergeCell ref="J151:K151"/>
    <mergeCell ref="J138:K138"/>
    <mergeCell ref="J139:K139"/>
    <mergeCell ref="D135:E135"/>
    <mergeCell ref="F135:G135"/>
    <mergeCell ref="H135:I135"/>
    <mergeCell ref="D136:E136"/>
    <mergeCell ref="F136:G136"/>
    <mergeCell ref="H136:I136"/>
    <mergeCell ref="D137:E137"/>
    <mergeCell ref="F137:G137"/>
    <mergeCell ref="H137:I137"/>
    <mergeCell ref="D138:E138"/>
    <mergeCell ref="F138:G138"/>
    <mergeCell ref="H138:I138"/>
    <mergeCell ref="D139:E139"/>
    <mergeCell ref="F139:G139"/>
    <mergeCell ref="H139:I139"/>
    <mergeCell ref="F96:G96"/>
    <mergeCell ref="F97:G97"/>
    <mergeCell ref="F92:G92"/>
    <mergeCell ref="F93:G93"/>
    <mergeCell ref="F94:G94"/>
    <mergeCell ref="F95:G95"/>
    <mergeCell ref="J135:K135"/>
    <mergeCell ref="J136:K136"/>
    <mergeCell ref="J137:K137"/>
    <mergeCell ref="J91:K91"/>
    <mergeCell ref="J92:K92"/>
    <mergeCell ref="J93:K93"/>
    <mergeCell ref="J94:K94"/>
    <mergeCell ref="J95:K95"/>
    <mergeCell ref="J96:K96"/>
    <mergeCell ref="J97:K97"/>
    <mergeCell ref="J134:K134"/>
    <mergeCell ref="B100:J100"/>
    <mergeCell ref="B101:J101"/>
    <mergeCell ref="B102:J102"/>
    <mergeCell ref="H91:I91"/>
    <mergeCell ref="H92:I92"/>
    <mergeCell ref="H93:I93"/>
    <mergeCell ref="H94:I94"/>
    <mergeCell ref="H95:I95"/>
    <mergeCell ref="H96:I96"/>
    <mergeCell ref="H97:I97"/>
    <mergeCell ref="D92:E92"/>
    <mergeCell ref="D93:E93"/>
    <mergeCell ref="D94:E94"/>
    <mergeCell ref="D95:E95"/>
    <mergeCell ref="D96:E96"/>
    <mergeCell ref="D97:E97"/>
    <mergeCell ref="J87:K87"/>
    <mergeCell ref="J88:K88"/>
    <mergeCell ref="J89:K89"/>
    <mergeCell ref="J90:K90"/>
    <mergeCell ref="B479:H479"/>
    <mergeCell ref="B427:L427"/>
    <mergeCell ref="B433:L433"/>
    <mergeCell ref="B340:F340"/>
    <mergeCell ref="B341:L341"/>
    <mergeCell ref="G268:H268"/>
    <mergeCell ref="B331:C331"/>
    <mergeCell ref="B332:C332"/>
    <mergeCell ref="B333:C333"/>
    <mergeCell ref="C446:D446"/>
    <mergeCell ref="C447:D447"/>
    <mergeCell ref="B442:M442"/>
    <mergeCell ref="B441:K441"/>
    <mergeCell ref="B444:L444"/>
    <mergeCell ref="B437:C437"/>
    <mergeCell ref="B439:L439"/>
    <mergeCell ref="B430:E430"/>
    <mergeCell ref="B431:J431"/>
    <mergeCell ref="B434:C434"/>
    <mergeCell ref="B369:L369"/>
    <mergeCell ref="K489:L489"/>
    <mergeCell ref="B490:J491"/>
    <mergeCell ref="B481:J481"/>
    <mergeCell ref="K481:L481"/>
    <mergeCell ref="B482:J484"/>
    <mergeCell ref="K482:L482"/>
    <mergeCell ref="K483:L483"/>
    <mergeCell ref="K484:L484"/>
    <mergeCell ref="B485:J485"/>
    <mergeCell ref="B486:J487"/>
    <mergeCell ref="B488:J489"/>
    <mergeCell ref="K487:L487"/>
    <mergeCell ref="C348:D348"/>
    <mergeCell ref="C346:D346"/>
    <mergeCell ref="C347:D347"/>
    <mergeCell ref="B342:M342"/>
    <mergeCell ref="B338:M338"/>
    <mergeCell ref="B167:J167"/>
    <mergeCell ref="B166:J166"/>
    <mergeCell ref="E202:G202"/>
    <mergeCell ref="E203:G203"/>
    <mergeCell ref="E206:G206"/>
    <mergeCell ref="E207:G207"/>
    <mergeCell ref="E209:G209"/>
    <mergeCell ref="E210:G210"/>
    <mergeCell ref="B197:L197"/>
    <mergeCell ref="B199:C199"/>
    <mergeCell ref="K228:L228"/>
    <mergeCell ref="K229:L229"/>
    <mergeCell ref="E231:G231"/>
    <mergeCell ref="K224:L224"/>
    <mergeCell ref="E235:G235"/>
    <mergeCell ref="E236:G236"/>
    <mergeCell ref="K233:L233"/>
    <mergeCell ref="E233:G233"/>
    <mergeCell ref="K222:L222"/>
    <mergeCell ref="C371:I371"/>
    <mergeCell ref="E372:F372"/>
    <mergeCell ref="G372:H372"/>
    <mergeCell ref="I372:J372"/>
    <mergeCell ref="E212:G212"/>
    <mergeCell ref="E218:G218"/>
    <mergeCell ref="H331:J331"/>
    <mergeCell ref="H332:J332"/>
    <mergeCell ref="B335:C335"/>
    <mergeCell ref="B322:M322"/>
    <mergeCell ref="B265:M265"/>
    <mergeCell ref="B327:M327"/>
    <mergeCell ref="B328:M328"/>
    <mergeCell ref="I268:J268"/>
    <mergeCell ref="C267:H267"/>
    <mergeCell ref="B344:M344"/>
    <mergeCell ref="K234:L234"/>
    <mergeCell ref="K235:L235"/>
    <mergeCell ref="E237:G237"/>
    <mergeCell ref="B330:M330"/>
    <mergeCell ref="K218:L218"/>
    <mergeCell ref="B262:K262"/>
    <mergeCell ref="B263:K263"/>
    <mergeCell ref="B367:K367"/>
    <mergeCell ref="J71:K71"/>
    <mergeCell ref="K214:L214"/>
    <mergeCell ref="K215:L215"/>
    <mergeCell ref="K216:L216"/>
    <mergeCell ref="K217:L217"/>
    <mergeCell ref="E213:G213"/>
    <mergeCell ref="E214:G214"/>
    <mergeCell ref="E215:G215"/>
    <mergeCell ref="E216:G216"/>
    <mergeCell ref="E217:G217"/>
    <mergeCell ref="E205:G205"/>
    <mergeCell ref="B165:J165"/>
    <mergeCell ref="J72:K72"/>
    <mergeCell ref="J73:K73"/>
    <mergeCell ref="J74:K74"/>
    <mergeCell ref="J75:K75"/>
    <mergeCell ref="J76:K76"/>
    <mergeCell ref="J77:K77"/>
    <mergeCell ref="J78:K78"/>
    <mergeCell ref="J79:K79"/>
    <mergeCell ref="J80:K80"/>
    <mergeCell ref="J81:K81"/>
    <mergeCell ref="K212:L212"/>
    <mergeCell ref="E208:G208"/>
    <mergeCell ref="B495:L495"/>
    <mergeCell ref="B500:C500"/>
    <mergeCell ref="B334:C334"/>
    <mergeCell ref="E204:G204"/>
    <mergeCell ref="E199:H199"/>
    <mergeCell ref="E200:G200"/>
    <mergeCell ref="E201:G201"/>
    <mergeCell ref="K221:L221"/>
    <mergeCell ref="E220:H220"/>
    <mergeCell ref="K208:L208"/>
    <mergeCell ref="K209:L209"/>
    <mergeCell ref="K210:L210"/>
    <mergeCell ref="K211:L211"/>
    <mergeCell ref="K213:L213"/>
    <mergeCell ref="K199:L199"/>
    <mergeCell ref="K200:L200"/>
    <mergeCell ref="K201:L201"/>
    <mergeCell ref="K202:L202"/>
    <mergeCell ref="K203:L203"/>
    <mergeCell ref="K205:L205"/>
    <mergeCell ref="K206:L206"/>
    <mergeCell ref="K207:L207"/>
    <mergeCell ref="K204:L204"/>
    <mergeCell ref="B429:I429"/>
    <mergeCell ref="L331:M331"/>
    <mergeCell ref="D331:F331"/>
    <mergeCell ref="E221:G221"/>
    <mergeCell ref="E222:G222"/>
    <mergeCell ref="E211:G211"/>
    <mergeCell ref="E232:G232"/>
    <mergeCell ref="K223:M223"/>
    <mergeCell ref="K225:L225"/>
    <mergeCell ref="D507:F507"/>
    <mergeCell ref="J503:K503"/>
    <mergeCell ref="J504:K504"/>
    <mergeCell ref="J505:K505"/>
    <mergeCell ref="J506:K506"/>
    <mergeCell ref="J507:K507"/>
    <mergeCell ref="G503:I503"/>
    <mergeCell ref="G504:I504"/>
    <mergeCell ref="G505:I505"/>
    <mergeCell ref="G506:I506"/>
    <mergeCell ref="G507:I507"/>
    <mergeCell ref="D505:F505"/>
    <mergeCell ref="D506:F506"/>
    <mergeCell ref="D504:F504"/>
    <mergeCell ref="D503:F503"/>
    <mergeCell ref="B493:L493"/>
    <mergeCell ref="K219:L219"/>
    <mergeCell ref="K220:L220"/>
    <mergeCell ref="K230:L230"/>
    <mergeCell ref="K231:L231"/>
    <mergeCell ref="K232:L232"/>
    <mergeCell ref="E234:G234"/>
    <mergeCell ref="E225:G225"/>
    <mergeCell ref="E226:G226"/>
    <mergeCell ref="E227:G227"/>
    <mergeCell ref="E228:G228"/>
    <mergeCell ref="E229:G229"/>
    <mergeCell ref="E230:G230"/>
    <mergeCell ref="K226:L226"/>
    <mergeCell ref="K227:L227"/>
    <mergeCell ref="E223:G223"/>
    <mergeCell ref="E224:G224"/>
  </mergeCells>
  <pageMargins left="0.70866141732283472" right="0.70866141732283472" top="0.74803149606299213" bottom="0.74803149606299213" header="0.31496062992125984" footer="0.31496062992125984"/>
  <pageSetup paperSize="9" scale="78" fitToHeight="0" orientation="portrait" r:id="rId1"/>
  <headerFooter>
    <oddHeader xml:space="preserve">&amp;L&amp;"Calibri,Fed"&amp;16&amp;K003FC2Løntabel, musikskolelærere og
-ledere/-mellemledere
&amp;C&amp;G&amp;R&amp;"Calibri (Tekst),Fed"&amp;16&amp;K003FC2 1. april 2026
</oddHeader>
    <oddFooter>&amp;L&amp;K003FC2Meld dig ind i MM på
www.musikerogmusikunderviser.dk &amp;R&amp;K003FC2MM tager forbehold for evt. fejl
 i denne løntabel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4E42-74E0-4DC3-9705-A6CB068F52AA}">
  <dimension ref="B1:M71"/>
  <sheetViews>
    <sheetView showGridLines="0" zoomScale="160" zoomScaleNormal="160" workbookViewId="0">
      <selection activeCell="B10" sqref="B10"/>
    </sheetView>
  </sheetViews>
  <sheetFormatPr baseColWidth="10" defaultColWidth="8.83203125" defaultRowHeight="15"/>
  <cols>
    <col min="1" max="1" width="3.83203125" customWidth="1"/>
    <col min="2" max="2" width="49.6640625" customWidth="1"/>
    <col min="3" max="3" width="6.83203125" hidden="1" customWidth="1"/>
    <col min="4" max="4" width="0.1640625" hidden="1" customWidth="1"/>
    <col min="5" max="5" width="5.33203125" customWidth="1"/>
    <col min="6" max="6" width="17.5" customWidth="1"/>
    <col min="7" max="7" width="19" customWidth="1"/>
    <col min="11" max="11" width="24.6640625" bestFit="1" customWidth="1"/>
  </cols>
  <sheetData>
    <row r="1" spans="2:13" ht="23" customHeight="1" thickBot="1"/>
    <row r="2" spans="2:13" ht="75">
      <c r="B2" s="306" t="s">
        <v>334</v>
      </c>
      <c r="C2" s="561"/>
      <c r="D2" s="561"/>
      <c r="E2" s="561"/>
      <c r="F2" s="561"/>
      <c r="G2" s="562"/>
      <c r="H2" s="307"/>
      <c r="I2" s="307"/>
      <c r="J2" s="307"/>
      <c r="K2" s="307"/>
      <c r="L2" s="307"/>
      <c r="M2" s="307"/>
    </row>
    <row r="3" spans="2:13" ht="16">
      <c r="B3" s="308" t="s">
        <v>135</v>
      </c>
      <c r="C3" s="563"/>
      <c r="D3" s="563"/>
      <c r="E3" s="563"/>
      <c r="F3" s="563"/>
      <c r="G3" s="564"/>
      <c r="J3" s="19" t="s">
        <v>151</v>
      </c>
    </row>
    <row r="4" spans="2:13" ht="34" customHeight="1">
      <c r="B4" s="97" t="s">
        <v>305</v>
      </c>
      <c r="C4" s="563"/>
      <c r="D4" s="563"/>
      <c r="E4" s="563"/>
      <c r="F4" s="563"/>
      <c r="G4" s="564"/>
      <c r="J4" s="19" t="s">
        <v>152</v>
      </c>
    </row>
    <row r="5" spans="2:13">
      <c r="B5" s="98" t="s">
        <v>306</v>
      </c>
      <c r="C5" s="305"/>
      <c r="D5" s="304" t="s">
        <v>134</v>
      </c>
      <c r="E5" s="305"/>
      <c r="F5" s="574" t="s">
        <v>134</v>
      </c>
      <c r="G5" s="575"/>
    </row>
    <row r="6" spans="2:13">
      <c r="B6" s="98" t="s">
        <v>277</v>
      </c>
      <c r="C6" s="565"/>
      <c r="D6" s="565"/>
      <c r="E6" s="565"/>
      <c r="F6" s="565"/>
      <c r="G6" s="566"/>
    </row>
    <row r="7" spans="2:13" ht="32">
      <c r="B7" s="97" t="s">
        <v>307</v>
      </c>
      <c r="C7" s="567"/>
      <c r="D7" s="567"/>
      <c r="E7" s="567"/>
      <c r="F7" s="567"/>
      <c r="G7" s="568"/>
    </row>
    <row r="8" spans="2:13" ht="32">
      <c r="B8" s="97" t="s">
        <v>308</v>
      </c>
      <c r="C8" s="567"/>
      <c r="D8" s="567"/>
      <c r="E8" s="567"/>
      <c r="F8" s="567"/>
      <c r="G8" s="568"/>
    </row>
    <row r="9" spans="2:13" ht="16">
      <c r="B9" s="97" t="s">
        <v>140</v>
      </c>
      <c r="C9" s="569"/>
      <c r="D9" s="570"/>
      <c r="E9" s="570"/>
      <c r="F9" s="570"/>
      <c r="G9" s="571"/>
    </row>
    <row r="10" spans="2:13" ht="16">
      <c r="B10" s="97" t="s">
        <v>336</v>
      </c>
      <c r="C10" s="531"/>
      <c r="D10" s="531"/>
      <c r="E10" s="531"/>
      <c r="F10" s="531"/>
      <c r="G10" s="532"/>
    </row>
    <row r="11" spans="2:13" ht="16">
      <c r="B11" s="97" t="s">
        <v>179</v>
      </c>
      <c r="C11" s="531"/>
      <c r="D11" s="531"/>
      <c r="E11" s="531"/>
      <c r="F11" s="531"/>
      <c r="G11" s="532"/>
    </row>
    <row r="12" spans="2:13" ht="16">
      <c r="B12" s="97" t="s">
        <v>170</v>
      </c>
      <c r="C12" s="531"/>
      <c r="D12" s="531"/>
      <c r="E12" s="531"/>
      <c r="F12" s="531"/>
      <c r="G12" s="532"/>
    </row>
    <row r="13" spans="2:13" ht="17" thickBot="1">
      <c r="B13" s="99" t="s">
        <v>171</v>
      </c>
      <c r="C13" s="533"/>
      <c r="D13" s="533"/>
      <c r="E13" s="533"/>
      <c r="F13" s="533"/>
      <c r="G13" s="534"/>
    </row>
    <row r="15" spans="2:13" ht="19.25" customHeight="1" thickBot="1">
      <c r="G15" s="10"/>
    </row>
    <row r="16" spans="2:13" ht="29" customHeight="1" thickBot="1">
      <c r="B16" s="553" t="s">
        <v>136</v>
      </c>
      <c r="C16" s="554"/>
      <c r="D16" s="554"/>
      <c r="E16" s="554"/>
      <c r="F16" s="554"/>
      <c r="G16" s="555"/>
    </row>
    <row r="17" spans="2:7">
      <c r="B17" s="572"/>
      <c r="C17" s="573"/>
      <c r="D17" s="573"/>
      <c r="E17" s="576" t="s">
        <v>180</v>
      </c>
      <c r="F17" s="577"/>
      <c r="G17" s="309" t="s">
        <v>181</v>
      </c>
    </row>
    <row r="18" spans="2:7">
      <c r="B18" s="538" t="s">
        <v>137</v>
      </c>
      <c r="C18" s="539"/>
      <c r="D18" s="539"/>
      <c r="E18" s="578" t="e">
        <f>'Aktuelle data'!B49*E5/37</f>
        <v>#N/A</v>
      </c>
      <c r="F18" s="579"/>
      <c r="G18" s="310" t="e">
        <f>E18/12</f>
        <v>#N/A</v>
      </c>
    </row>
    <row r="19" spans="2:7">
      <c r="B19" s="538" t="s">
        <v>154</v>
      </c>
      <c r="C19" s="539"/>
      <c r="D19" s="539"/>
      <c r="E19" s="578">
        <f>'Aktuelle data'!B44*'Aktuelle data'!C37*E5/37</f>
        <v>0</v>
      </c>
      <c r="F19" s="579"/>
      <c r="G19" s="310">
        <f>E19/12</f>
        <v>0</v>
      </c>
    </row>
    <row r="20" spans="2:7">
      <c r="B20" s="538" t="s">
        <v>138</v>
      </c>
      <c r="C20" s="539"/>
      <c r="D20" s="539"/>
      <c r="E20" s="578">
        <f>C7*E5/37*'Aktuelle data'!C37</f>
        <v>0</v>
      </c>
      <c r="F20" s="579"/>
      <c r="G20" s="310">
        <f>E20/12</f>
        <v>0</v>
      </c>
    </row>
    <row r="21" spans="2:7">
      <c r="B21" s="538" t="s">
        <v>139</v>
      </c>
      <c r="C21" s="539"/>
      <c r="D21" s="539"/>
      <c r="E21" s="578">
        <f>C8*F51</f>
        <v>0</v>
      </c>
      <c r="F21" s="579"/>
      <c r="G21" s="310">
        <f>E21/12</f>
        <v>0</v>
      </c>
    </row>
    <row r="22" spans="2:7">
      <c r="B22" s="556" t="s">
        <v>141</v>
      </c>
      <c r="C22" s="557"/>
      <c r="D22" s="557"/>
      <c r="E22" s="605"/>
      <c r="F22" s="606"/>
      <c r="G22" s="311" t="e">
        <f>C9*E38</f>
        <v>#N/A</v>
      </c>
    </row>
    <row r="23" spans="2:7">
      <c r="B23" s="550" t="s">
        <v>178</v>
      </c>
      <c r="C23" s="551"/>
      <c r="D23" s="552"/>
      <c r="E23" s="607"/>
      <c r="F23" s="608"/>
      <c r="G23" s="311" t="e">
        <f>C10*E36</f>
        <v>#N/A</v>
      </c>
    </row>
    <row r="24" spans="2:7">
      <c r="B24" s="556" t="s">
        <v>177</v>
      </c>
      <c r="C24" s="557"/>
      <c r="D24" s="557"/>
      <c r="E24" s="609"/>
      <c r="F24" s="610"/>
      <c r="G24" s="311" t="e">
        <f>C11*E36*1.5</f>
        <v>#N/A</v>
      </c>
    </row>
    <row r="25" spans="2:7" ht="30" customHeight="1" thickBot="1">
      <c r="B25" s="590" t="s">
        <v>176</v>
      </c>
      <c r="C25" s="591"/>
      <c r="D25" s="591"/>
      <c r="E25" s="603" t="e">
        <f>SUM(E18:F21)</f>
        <v>#N/A</v>
      </c>
      <c r="F25" s="611"/>
      <c r="G25" s="104" t="e">
        <f>E25/12</f>
        <v>#N/A</v>
      </c>
    </row>
    <row r="26" spans="2:7" ht="43.5" customHeight="1" thickBot="1">
      <c r="B26" s="580" t="s">
        <v>185</v>
      </c>
      <c r="C26" s="581"/>
      <c r="D26" s="581"/>
      <c r="E26" s="312"/>
      <c r="F26" s="313"/>
      <c r="G26" s="314" t="e">
        <f>G18+G19+G20+G21+G22+G23+G24+G32+G33</f>
        <v>#N/A</v>
      </c>
    </row>
    <row r="27" spans="2:7" ht="16" thickBot="1">
      <c r="B27" s="549"/>
      <c r="C27" s="549"/>
      <c r="D27" s="549"/>
      <c r="E27" s="549"/>
      <c r="F27" s="549"/>
      <c r="G27" s="549"/>
    </row>
    <row r="28" spans="2:7" ht="16" thickBot="1">
      <c r="B28" s="547" t="s">
        <v>304</v>
      </c>
      <c r="C28" s="548"/>
      <c r="D28" s="548"/>
      <c r="E28" s="371" t="e">
        <f>('Aktuelle data'!B50*E5/37+F19+F20+F21)*'Aktuelle data'!C38/100</f>
        <v>#N/A</v>
      </c>
      <c r="F28" s="372"/>
      <c r="G28" s="107" t="e">
        <f>E28/12+((G23+G24)*'Aktuelle data'!C38/100)</f>
        <v>#N/A</v>
      </c>
    </row>
    <row r="29" spans="2:7" ht="16" thickBot="1">
      <c r="B29" s="108"/>
      <c r="C29" s="108"/>
      <c r="D29" s="108"/>
      <c r="E29" s="108"/>
      <c r="F29" s="108"/>
      <c r="G29" s="109"/>
    </row>
    <row r="30" spans="2:7" ht="16" thickBot="1">
      <c r="B30" s="582" t="s">
        <v>183</v>
      </c>
      <c r="C30" s="583"/>
      <c r="D30" s="584"/>
      <c r="E30" s="597" cm="1">
        <f t="array" ref="E30">_xlfn.IFS(E5&gt;=27,'Aktuelle data'!AL5,Musikskolelærere!E5&gt;=18,'Aktuelle data'!AL6,Musikskolelærere!E5&gt;=9,'Aktuelle data'!AL7,Musikskolelærere!C5&lt;9,0)</f>
        <v>0</v>
      </c>
      <c r="F30" s="598"/>
      <c r="G30" s="109"/>
    </row>
    <row r="31" spans="2:7" ht="16" thickBot="1">
      <c r="B31" s="108"/>
      <c r="C31" s="108"/>
      <c r="D31" s="108"/>
      <c r="E31" s="108"/>
      <c r="F31" s="108"/>
      <c r="G31" s="109"/>
    </row>
    <row r="32" spans="2:7">
      <c r="B32" s="541" t="s">
        <v>168</v>
      </c>
      <c r="C32" s="542"/>
      <c r="D32" s="542"/>
      <c r="E32" s="542"/>
      <c r="F32" s="543"/>
      <c r="G32" s="315">
        <f>C12*'Aktuelle data'!C40</f>
        <v>0</v>
      </c>
    </row>
    <row r="33" spans="2:7" ht="16" thickBot="1">
      <c r="B33" s="544" t="s">
        <v>169</v>
      </c>
      <c r="C33" s="545"/>
      <c r="D33" s="545"/>
      <c r="E33" s="545"/>
      <c r="F33" s="546"/>
      <c r="G33" s="316">
        <f>C13*'Aktuelle data'!C41</f>
        <v>0</v>
      </c>
    </row>
    <row r="34" spans="2:7" ht="16" thickBot="1">
      <c r="B34" s="108"/>
      <c r="C34" s="108"/>
      <c r="D34" s="108"/>
      <c r="E34" s="108"/>
      <c r="F34" s="108"/>
      <c r="G34" s="109"/>
    </row>
    <row r="35" spans="2:7">
      <c r="B35" s="592" t="s">
        <v>266</v>
      </c>
      <c r="C35" s="593"/>
      <c r="D35" s="593"/>
      <c r="E35" s="599" t="e">
        <f>('Aktuelle data'!B49+('Aktuelle data'!B44*'Aktuelle data'!C37)+(Musikskolelærere!C7*'Aktuelle data'!C37)+(Musikskolelærere!C8*'Aktuelle data'!C37))</f>
        <v>#N/A</v>
      </c>
      <c r="F35" s="600"/>
      <c r="G35" s="109"/>
    </row>
    <row r="36" spans="2:7">
      <c r="B36" s="538" t="s">
        <v>144</v>
      </c>
      <c r="C36" s="539"/>
      <c r="D36" s="539"/>
      <c r="E36" s="601" t="e">
        <f>E35/1924</f>
        <v>#N/A</v>
      </c>
      <c r="F36" s="602"/>
      <c r="G36" s="109"/>
    </row>
    <row r="37" spans="2:7">
      <c r="B37" s="594" t="s">
        <v>267</v>
      </c>
      <c r="C37" s="595"/>
      <c r="D37" s="596"/>
      <c r="E37" s="369" t="e">
        <f>E36+(E36*'Aktuelle data'!C38/3/100)</f>
        <v>#N/A</v>
      </c>
      <c r="F37" s="369"/>
      <c r="G37" s="109"/>
    </row>
    <row r="38" spans="2:7" ht="16" thickBot="1">
      <c r="B38" s="540" t="s">
        <v>303</v>
      </c>
      <c r="C38" s="370"/>
      <c r="D38" s="370"/>
      <c r="E38" s="603" t="e">
        <f>E36/4</f>
        <v>#N/A</v>
      </c>
      <c r="F38" s="604"/>
      <c r="G38" s="109"/>
    </row>
    <row r="39" spans="2:7" ht="16" thickBot="1">
      <c r="B39" s="303"/>
      <c r="C39" s="303"/>
      <c r="D39" s="303"/>
      <c r="E39" s="303"/>
      <c r="F39" s="303"/>
      <c r="G39" s="303"/>
    </row>
    <row r="40" spans="2:7" ht="25" thickBot="1">
      <c r="B40" s="587" t="s">
        <v>155</v>
      </c>
      <c r="C40" s="588"/>
      <c r="D40" s="588"/>
      <c r="E40" s="588"/>
      <c r="F40" s="588"/>
      <c r="G40" s="589"/>
    </row>
    <row r="41" spans="2:7" s="317" customFormat="1">
      <c r="B41" s="558" t="s">
        <v>327</v>
      </c>
      <c r="C41" s="559"/>
      <c r="D41" s="559"/>
      <c r="E41" s="559"/>
      <c r="F41" s="559"/>
      <c r="G41" s="560"/>
    </row>
    <row r="42" spans="2:7" ht="19" customHeight="1">
      <c r="B42" s="373" t="s">
        <v>326</v>
      </c>
      <c r="C42" s="374"/>
      <c r="D42" s="374"/>
      <c r="E42" s="374"/>
      <c r="F42" s="374"/>
      <c r="G42" s="375"/>
    </row>
    <row r="43" spans="2:7" ht="66" customHeight="1">
      <c r="B43" s="376" t="s">
        <v>325</v>
      </c>
      <c r="C43" s="585"/>
      <c r="D43" s="585"/>
      <c r="E43" s="585"/>
      <c r="F43" s="585"/>
      <c r="G43" s="586"/>
    </row>
    <row r="44" spans="2:7" s="1" customFormat="1" ht="46" customHeight="1" thickBot="1">
      <c r="B44" s="535" t="s">
        <v>324</v>
      </c>
      <c r="C44" s="536"/>
      <c r="D44" s="536"/>
      <c r="E44" s="536"/>
      <c r="F44" s="536"/>
      <c r="G44" s="537"/>
    </row>
    <row r="45" spans="2:7" ht="16" thickBot="1">
      <c r="B45" s="528" t="s">
        <v>302</v>
      </c>
      <c r="C45" s="529"/>
      <c r="D45" s="529"/>
      <c r="E45" s="529"/>
      <c r="F45" s="529"/>
      <c r="G45" s="530"/>
    </row>
    <row r="47" spans="2:7">
      <c r="B47" s="16"/>
      <c r="C47" s="16"/>
      <c r="D47" s="16"/>
      <c r="E47" s="16"/>
      <c r="F47" s="16"/>
      <c r="G47" s="16"/>
    </row>
    <row r="48" spans="2:7" ht="29">
      <c r="B48" s="11" t="s">
        <v>145</v>
      </c>
      <c r="C48" s="12"/>
      <c r="D48" s="13"/>
      <c r="E48" s="13"/>
      <c r="F48" s="12"/>
      <c r="G48" s="16"/>
    </row>
    <row r="49" spans="2:7" ht="29">
      <c r="B49" s="11" t="s">
        <v>137</v>
      </c>
      <c r="C49" s="12"/>
      <c r="D49" s="13"/>
      <c r="E49" s="13"/>
      <c r="F49" s="14"/>
      <c r="G49" s="16"/>
    </row>
    <row r="50" spans="2:7" ht="29">
      <c r="B50" s="11" t="s">
        <v>163</v>
      </c>
      <c r="C50" s="12"/>
      <c r="D50" s="13"/>
      <c r="E50" s="13"/>
      <c r="F50" s="14"/>
      <c r="G50" s="16"/>
    </row>
    <row r="51" spans="2:7" ht="29">
      <c r="B51" s="11" t="s">
        <v>149</v>
      </c>
      <c r="C51" s="12"/>
      <c r="D51" s="13"/>
      <c r="E51" s="13"/>
      <c r="F51" s="318">
        <f>'Aktuelle data'!C37</f>
        <v>1.653378</v>
      </c>
      <c r="G51" s="16"/>
    </row>
    <row r="52" spans="2:7">
      <c r="G52" s="16"/>
    </row>
    <row r="53" spans="2:7">
      <c r="B53" s="16"/>
      <c r="C53" s="16"/>
      <c r="D53" s="16"/>
      <c r="E53" s="16"/>
      <c r="F53" s="16"/>
      <c r="G53" s="16"/>
    </row>
    <row r="54" spans="2:7">
      <c r="B54" s="16"/>
      <c r="C54" s="16"/>
      <c r="D54" s="16"/>
      <c r="E54" s="16"/>
      <c r="F54" s="16"/>
      <c r="G54" s="16"/>
    </row>
    <row r="55" spans="2:7">
      <c r="B55" s="16"/>
      <c r="C55" s="16"/>
      <c r="D55" s="16"/>
      <c r="E55" s="16"/>
      <c r="F55" s="16"/>
      <c r="G55" s="16"/>
    </row>
    <row r="56" spans="2:7">
      <c r="B56" s="16"/>
      <c r="C56" s="16"/>
      <c r="D56" s="16"/>
      <c r="E56" s="16"/>
      <c r="F56" s="16"/>
      <c r="G56" s="16"/>
    </row>
    <row r="57" spans="2:7">
      <c r="B57" s="16"/>
      <c r="C57" s="16"/>
      <c r="D57" s="16"/>
      <c r="E57" s="16"/>
      <c r="F57" s="16"/>
      <c r="G57" s="16"/>
    </row>
    <row r="58" spans="2:7">
      <c r="B58" s="16"/>
      <c r="C58" s="16"/>
      <c r="D58" s="16"/>
      <c r="E58" s="16"/>
      <c r="F58" s="16"/>
      <c r="G58" s="16"/>
    </row>
    <row r="59" spans="2:7">
      <c r="B59" s="16"/>
      <c r="C59" s="16"/>
      <c r="D59" s="16"/>
      <c r="E59" s="16"/>
      <c r="F59" s="16"/>
      <c r="G59" s="16"/>
    </row>
    <row r="60" spans="2:7">
      <c r="B60" s="16"/>
      <c r="C60" s="16"/>
      <c r="D60" s="16"/>
      <c r="E60" s="16"/>
      <c r="F60" s="16"/>
      <c r="G60" s="16"/>
    </row>
    <row r="61" spans="2:7">
      <c r="B61" s="16"/>
      <c r="C61" s="16"/>
      <c r="D61" s="16"/>
      <c r="E61" s="16"/>
      <c r="F61" s="16"/>
      <c r="G61" s="16"/>
    </row>
    <row r="62" spans="2:7">
      <c r="B62" s="16"/>
      <c r="C62" s="16"/>
      <c r="D62" s="16"/>
      <c r="E62" s="16"/>
      <c r="F62" s="16"/>
      <c r="G62" s="16"/>
    </row>
    <row r="63" spans="2:7">
      <c r="B63" s="16"/>
      <c r="C63" s="16"/>
      <c r="D63" s="16"/>
      <c r="E63" s="16"/>
      <c r="F63" s="16"/>
      <c r="G63" s="16"/>
    </row>
    <row r="64" spans="2:7">
      <c r="B64" s="16"/>
      <c r="C64" s="16"/>
      <c r="D64" s="16"/>
      <c r="E64" s="16"/>
      <c r="F64" s="16"/>
      <c r="G64" s="16"/>
    </row>
    <row r="65" spans="2:7">
      <c r="B65" s="16"/>
      <c r="C65" s="16"/>
      <c r="D65" s="16"/>
      <c r="E65" s="16"/>
      <c r="F65" s="16"/>
      <c r="G65" s="16"/>
    </row>
    <row r="66" spans="2:7">
      <c r="B66" s="16"/>
      <c r="C66" s="16"/>
      <c r="D66" s="16"/>
      <c r="E66" s="16"/>
      <c r="F66" s="16"/>
      <c r="G66" s="16"/>
    </row>
    <row r="67" spans="2:7">
      <c r="B67" s="16"/>
      <c r="C67" s="16"/>
      <c r="D67" s="16"/>
      <c r="E67" s="16"/>
      <c r="F67" s="16"/>
      <c r="G67" s="16"/>
    </row>
    <row r="68" spans="2:7">
      <c r="B68" s="16"/>
      <c r="C68" s="16"/>
      <c r="D68" s="16"/>
      <c r="E68" s="16"/>
      <c r="F68" s="16"/>
      <c r="G68" s="16"/>
    </row>
    <row r="69" spans="2:7">
      <c r="B69" s="16"/>
      <c r="C69" s="16"/>
      <c r="D69" s="16"/>
      <c r="E69" s="16"/>
      <c r="F69" s="16"/>
      <c r="G69" s="16"/>
    </row>
    <row r="70" spans="2:7">
      <c r="B70" s="16"/>
      <c r="C70" s="16"/>
      <c r="D70" s="16"/>
      <c r="E70" s="16"/>
      <c r="F70" s="16"/>
      <c r="G70" s="16"/>
    </row>
    <row r="71" spans="2:7">
      <c r="B71" s="16"/>
      <c r="C71" s="16"/>
      <c r="D71" s="16"/>
      <c r="E71" s="16"/>
      <c r="F71" s="16"/>
      <c r="G71" s="16"/>
    </row>
  </sheetData>
  <sheetProtection selectLockedCells="1"/>
  <mergeCells count="51">
    <mergeCell ref="E19:F19"/>
    <mergeCell ref="E20:F20"/>
    <mergeCell ref="E21:F21"/>
    <mergeCell ref="E22:F24"/>
    <mergeCell ref="E25:F25"/>
    <mergeCell ref="B26:D26"/>
    <mergeCell ref="B30:D30"/>
    <mergeCell ref="B43:G43"/>
    <mergeCell ref="B24:D24"/>
    <mergeCell ref="B40:G40"/>
    <mergeCell ref="B25:D25"/>
    <mergeCell ref="B35:D35"/>
    <mergeCell ref="B37:D37"/>
    <mergeCell ref="E28:F28"/>
    <mergeCell ref="E30:F30"/>
    <mergeCell ref="E35:F35"/>
    <mergeCell ref="E36:F36"/>
    <mergeCell ref="E37:F37"/>
    <mergeCell ref="E38:F38"/>
    <mergeCell ref="C2:G2"/>
    <mergeCell ref="B20:D20"/>
    <mergeCell ref="B21:D21"/>
    <mergeCell ref="C11:G11"/>
    <mergeCell ref="C4:G4"/>
    <mergeCell ref="C6:G6"/>
    <mergeCell ref="C7:G7"/>
    <mergeCell ref="C8:G8"/>
    <mergeCell ref="C3:G3"/>
    <mergeCell ref="C10:G10"/>
    <mergeCell ref="C9:G9"/>
    <mergeCell ref="B17:D17"/>
    <mergeCell ref="B19:D19"/>
    <mergeCell ref="F5:G5"/>
    <mergeCell ref="E17:F17"/>
    <mergeCell ref="E18:F18"/>
    <mergeCell ref="B45:G45"/>
    <mergeCell ref="C12:G12"/>
    <mergeCell ref="C13:G13"/>
    <mergeCell ref="B44:G44"/>
    <mergeCell ref="B36:D36"/>
    <mergeCell ref="B38:D38"/>
    <mergeCell ref="B32:F32"/>
    <mergeCell ref="B33:F33"/>
    <mergeCell ref="B28:D28"/>
    <mergeCell ref="B27:G27"/>
    <mergeCell ref="B23:D23"/>
    <mergeCell ref="B42:G42"/>
    <mergeCell ref="B16:G16"/>
    <mergeCell ref="B18:D18"/>
    <mergeCell ref="B22:D22"/>
    <mergeCell ref="B41:G4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65135C-53F9-438D-A92B-AF8AC77AB006}">
          <x14:formula1>
            <xm:f>'Skoler, stedtillæg'!$A$1:$A$98</xm:f>
          </x14:formula1>
          <xm:sqref>C4:G4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6975-03C5-4579-A091-83DAE7A9FA47}">
  <dimension ref="B1:G59"/>
  <sheetViews>
    <sheetView showGridLines="0" tabSelected="1" zoomScale="150" zoomScaleNormal="150" workbookViewId="0">
      <selection activeCell="C4" sqref="C4:E4"/>
    </sheetView>
  </sheetViews>
  <sheetFormatPr baseColWidth="10" defaultColWidth="8.83203125" defaultRowHeight="15"/>
  <cols>
    <col min="1" max="1" width="3.83203125" customWidth="1"/>
    <col min="2" max="2" width="54.5" customWidth="1"/>
    <col min="3" max="3" width="5.5" customWidth="1"/>
    <col min="4" max="4" width="20" customWidth="1"/>
    <col min="5" max="5" width="24.1640625" customWidth="1"/>
  </cols>
  <sheetData>
    <row r="1" spans="2:7" ht="23" customHeight="1"/>
    <row r="2" spans="2:7" ht="75">
      <c r="B2" s="298" t="s">
        <v>335</v>
      </c>
      <c r="C2" s="337"/>
      <c r="D2" s="338"/>
      <c r="E2" s="339"/>
    </row>
    <row r="3" spans="2:7" ht="16">
      <c r="B3" s="205" t="s">
        <v>135</v>
      </c>
      <c r="C3" s="340"/>
      <c r="D3" s="341"/>
      <c r="E3" s="342"/>
    </row>
    <row r="4" spans="2:7" ht="32">
      <c r="B4" s="97" t="s">
        <v>309</v>
      </c>
      <c r="C4" s="343"/>
      <c r="D4" s="343"/>
      <c r="E4" s="344"/>
    </row>
    <row r="5" spans="2:7">
      <c r="B5" s="98" t="s">
        <v>306</v>
      </c>
      <c r="C5" s="301"/>
      <c r="D5" s="345" t="s">
        <v>134</v>
      </c>
      <c r="E5" s="346"/>
    </row>
    <row r="6" spans="2:7">
      <c r="B6" s="98" t="s">
        <v>310</v>
      </c>
      <c r="C6" s="347"/>
      <c r="D6" s="347"/>
      <c r="E6" s="348"/>
    </row>
    <row r="7" spans="2:7">
      <c r="B7" s="98" t="s">
        <v>311</v>
      </c>
      <c r="C7" s="363"/>
      <c r="D7" s="364"/>
      <c r="E7" s="365"/>
    </row>
    <row r="8" spans="2:7" ht="16">
      <c r="B8" s="97" t="s">
        <v>186</v>
      </c>
      <c r="C8" s="354"/>
      <c r="D8" s="354"/>
      <c r="E8" s="355"/>
    </row>
    <row r="9" spans="2:7" ht="32">
      <c r="B9" s="97" t="s">
        <v>187</v>
      </c>
      <c r="C9" s="354"/>
      <c r="D9" s="354"/>
      <c r="E9" s="355"/>
      <c r="G9" s="15"/>
    </row>
    <row r="10" spans="2:7" ht="16">
      <c r="B10" s="97" t="s">
        <v>172</v>
      </c>
      <c r="C10" s="356"/>
      <c r="D10" s="356"/>
      <c r="E10" s="357"/>
      <c r="G10" s="15"/>
    </row>
    <row r="11" spans="2:7" ht="16">
      <c r="B11" s="97" t="s">
        <v>173</v>
      </c>
      <c r="C11" s="356"/>
      <c r="D11" s="356"/>
      <c r="E11" s="357"/>
      <c r="G11" s="15"/>
    </row>
    <row r="12" spans="2:7" ht="29" customHeight="1" thickBot="1">
      <c r="B12" s="99" t="s">
        <v>156</v>
      </c>
      <c r="C12" s="358"/>
      <c r="D12" s="358"/>
      <c r="E12" s="359"/>
      <c r="G12" s="15"/>
    </row>
    <row r="13" spans="2:7" ht="30" thickBot="1">
      <c r="C13" s="10"/>
      <c r="D13" s="10"/>
      <c r="E13" s="10"/>
      <c r="G13" s="15"/>
    </row>
    <row r="14" spans="2:7" ht="24">
      <c r="B14" s="302" t="s">
        <v>174</v>
      </c>
      <c r="C14" s="379" t="s">
        <v>142</v>
      </c>
      <c r="D14" s="379"/>
      <c r="E14" s="100" t="s">
        <v>143</v>
      </c>
      <c r="G14" s="15"/>
    </row>
    <row r="15" spans="2:7">
      <c r="B15" s="98" t="s">
        <v>137</v>
      </c>
      <c r="C15" s="353" t="e">
        <f>'Aktuelle data'!B59*C5/37</f>
        <v>#N/A</v>
      </c>
      <c r="D15" s="353"/>
      <c r="E15" s="101" t="e">
        <f>C15/12</f>
        <v>#N/A</v>
      </c>
      <c r="G15" s="15"/>
    </row>
    <row r="16" spans="2:7">
      <c r="B16" s="98" t="s">
        <v>312</v>
      </c>
      <c r="C16" s="353">
        <f>IF(C7="Ja",'Aktuelle data'!B56*'Aktuelle data'!C37*Musikskoleledere_mellemledere!C5/37,0)</f>
        <v>0</v>
      </c>
      <c r="D16" s="353"/>
      <c r="E16" s="101">
        <f>C16/12</f>
        <v>0</v>
      </c>
      <c r="G16" s="15"/>
    </row>
    <row r="17" spans="2:7">
      <c r="B17" s="111" t="s">
        <v>278</v>
      </c>
      <c r="C17" s="353">
        <f>C8*'Aktuelle data'!C37*C5/37</f>
        <v>0</v>
      </c>
      <c r="D17" s="353"/>
      <c r="E17" s="101">
        <f>C17/12</f>
        <v>0</v>
      </c>
      <c r="G17" s="15"/>
    </row>
    <row r="18" spans="2:7">
      <c r="B18" s="98" t="s">
        <v>139</v>
      </c>
      <c r="C18" s="353">
        <f>C9*'Aktuelle data'!C37</f>
        <v>0</v>
      </c>
      <c r="D18" s="353"/>
      <c r="E18" s="101">
        <f>C18/12</f>
        <v>0</v>
      </c>
      <c r="G18" s="15"/>
    </row>
    <row r="19" spans="2:7" ht="15" customHeight="1">
      <c r="B19" s="102" t="s">
        <v>157</v>
      </c>
      <c r="C19" s="353">
        <f>(C12*'Aktuelle data'!C42*'Aktuelle data'!C37)*C5/37</f>
        <v>0</v>
      </c>
      <c r="D19" s="353"/>
      <c r="E19" s="101">
        <f>C19/12</f>
        <v>0</v>
      </c>
    </row>
    <row r="20" spans="2:7" ht="30.75" customHeight="1">
      <c r="B20" s="112" t="s">
        <v>175</v>
      </c>
      <c r="C20" s="369" t="e">
        <f>C15+C17+C18+C19</f>
        <v>#N/A</v>
      </c>
      <c r="D20" s="369"/>
      <c r="E20" s="101" t="e">
        <f>E15+E16+E17+E18+E19</f>
        <v>#N/A</v>
      </c>
    </row>
    <row r="21" spans="2:7" ht="33" thickBot="1">
      <c r="B21" s="103" t="s">
        <v>184</v>
      </c>
      <c r="C21" s="370"/>
      <c r="D21" s="370"/>
      <c r="E21" s="104" t="e">
        <f>E15+E16+E17+E18+E19+E27+E28</f>
        <v>#N/A</v>
      </c>
    </row>
    <row r="22" spans="2:7" ht="16" thickBot="1">
      <c r="B22" s="113"/>
      <c r="C22" s="108"/>
      <c r="D22" s="109"/>
      <c r="E22" s="109"/>
    </row>
    <row r="23" spans="2:7" ht="16" thickBot="1">
      <c r="B23" s="106" t="s">
        <v>313</v>
      </c>
      <c r="C23" s="371" t="e">
        <f>('Aktuelle data'!B60+C16+C17+C18+C19)*'Aktuelle data'!C39/100</f>
        <v>#N/A</v>
      </c>
      <c r="D23" s="372"/>
      <c r="E23" s="107" t="e">
        <f>C23/12</f>
        <v>#N/A</v>
      </c>
    </row>
    <row r="24" spans="2:7" ht="16" thickBot="1">
      <c r="B24" s="108"/>
      <c r="C24" s="108"/>
      <c r="D24" s="108"/>
      <c r="E24" s="108"/>
    </row>
    <row r="25" spans="2:7" ht="15" customHeight="1" thickBot="1">
      <c r="B25" s="114" t="s">
        <v>182</v>
      </c>
      <c r="C25" s="351"/>
      <c r="D25" s="352"/>
      <c r="E25" s="107" cm="1">
        <f t="array" ref="E25">_xlfn.IFS(C5&gt;=27,'Aktuelle data'!AL5,Musikskoleledere_mellemledere!C5&gt;=18,'Aktuelle data'!AL6,Musikskoleledere_mellemledere!C5&gt;9,'Aktuelle data'!AL7,Musikskoleledere_mellemledere!C5&lt;9,0)</f>
        <v>0</v>
      </c>
    </row>
    <row r="26" spans="2:7" ht="15" customHeight="1" thickBot="1">
      <c r="B26" s="105"/>
      <c r="C26" s="115"/>
      <c r="D26" s="116"/>
      <c r="E26" s="117"/>
    </row>
    <row r="27" spans="2:7">
      <c r="B27" s="386" t="s">
        <v>168</v>
      </c>
      <c r="C27" s="387"/>
      <c r="D27" s="387"/>
      <c r="E27" s="110">
        <f>C10*'Aktuelle data'!C40</f>
        <v>0</v>
      </c>
    </row>
    <row r="28" spans="2:7" ht="16" thickBot="1">
      <c r="B28" s="349" t="s">
        <v>169</v>
      </c>
      <c r="C28" s="350"/>
      <c r="D28" s="350"/>
      <c r="E28" s="104">
        <f>C11*'Aktuelle data'!C41</f>
        <v>0</v>
      </c>
    </row>
    <row r="29" spans="2:7" ht="15" customHeight="1" thickBot="1">
      <c r="C29" s="17"/>
      <c r="D29" s="17"/>
      <c r="E29" s="17"/>
    </row>
    <row r="30" spans="2:7" ht="24">
      <c r="B30" s="383" t="s">
        <v>155</v>
      </c>
      <c r="C30" s="384"/>
      <c r="D30" s="384"/>
      <c r="E30" s="385"/>
    </row>
    <row r="31" spans="2:7" ht="14.5" customHeight="1">
      <c r="B31" s="380" t="s">
        <v>331</v>
      </c>
      <c r="C31" s="381"/>
      <c r="D31" s="381"/>
      <c r="E31" s="382"/>
    </row>
    <row r="32" spans="2:7" ht="14.5" customHeight="1">
      <c r="B32" s="373" t="s">
        <v>330</v>
      </c>
      <c r="C32" s="374"/>
      <c r="D32" s="374"/>
      <c r="E32" s="375"/>
    </row>
    <row r="33" spans="2:6" ht="29.5" customHeight="1">
      <c r="B33" s="376" t="s">
        <v>328</v>
      </c>
      <c r="C33" s="377"/>
      <c r="D33" s="377"/>
      <c r="E33" s="378"/>
    </row>
    <row r="34" spans="2:6" ht="45.75" customHeight="1" thickBot="1">
      <c r="B34" s="366" t="s">
        <v>329</v>
      </c>
      <c r="C34" s="367"/>
      <c r="D34" s="367"/>
      <c r="E34" s="368"/>
    </row>
    <row r="35" spans="2:6" ht="17" customHeight="1" thickBot="1">
      <c r="B35" s="360" t="s">
        <v>302</v>
      </c>
      <c r="C35" s="361"/>
      <c r="D35" s="361"/>
      <c r="E35" s="362"/>
      <c r="F35" s="18"/>
    </row>
    <row r="36" spans="2:6" ht="29">
      <c r="B36" s="11" t="s">
        <v>149</v>
      </c>
      <c r="C36" s="12"/>
      <c r="D36" s="13"/>
      <c r="E36" s="14">
        <f>'Aktuelle data'!C39</f>
        <v>19.52</v>
      </c>
    </row>
    <row r="37" spans="2:6" ht="16">
      <c r="B37" s="11" t="s">
        <v>150</v>
      </c>
      <c r="C37" s="15"/>
      <c r="D37" s="15"/>
      <c r="E37" s="15"/>
    </row>
    <row r="38" spans="2:6">
      <c r="B38" s="15"/>
      <c r="C38" s="15"/>
      <c r="D38" s="15"/>
      <c r="E38" s="15"/>
    </row>
    <row r="39" spans="2:6">
      <c r="B39" s="15"/>
      <c r="C39" s="15"/>
      <c r="D39" s="15"/>
      <c r="E39" s="15"/>
    </row>
    <row r="40" spans="2:6">
      <c r="B40" s="15"/>
      <c r="C40" s="15"/>
      <c r="D40" s="15"/>
      <c r="E40" s="15"/>
    </row>
    <row r="41" spans="2:6">
      <c r="B41" s="15"/>
      <c r="C41" s="15"/>
      <c r="D41" s="15"/>
      <c r="E41" s="15"/>
    </row>
    <row r="42" spans="2:6">
      <c r="B42" s="15"/>
      <c r="C42" s="15"/>
      <c r="D42" s="15"/>
      <c r="E42" s="15"/>
    </row>
    <row r="43" spans="2:6">
      <c r="B43" s="15"/>
      <c r="C43" s="15"/>
      <c r="D43" s="15"/>
      <c r="E43" s="15"/>
    </row>
    <row r="44" spans="2:6">
      <c r="B44" s="15"/>
      <c r="C44" s="15"/>
      <c r="D44" s="15"/>
      <c r="E44" s="15"/>
    </row>
    <row r="45" spans="2:6">
      <c r="B45" s="15"/>
      <c r="C45" s="15"/>
      <c r="D45" s="15"/>
      <c r="E45" s="15"/>
    </row>
    <row r="46" spans="2:6">
      <c r="B46" s="15"/>
      <c r="C46" s="15"/>
      <c r="D46" s="15"/>
      <c r="E46" s="15"/>
    </row>
    <row r="47" spans="2:6">
      <c r="B47" s="15"/>
      <c r="C47" s="15"/>
      <c r="D47" s="15"/>
      <c r="E47" s="15"/>
    </row>
    <row r="48" spans="2:6">
      <c r="B48" s="15"/>
      <c r="C48" s="15"/>
      <c r="D48" s="15"/>
      <c r="E48" s="15"/>
    </row>
    <row r="49" spans="2:5">
      <c r="B49" s="15"/>
      <c r="C49" s="15"/>
      <c r="D49" s="15"/>
      <c r="E49" s="15"/>
    </row>
    <row r="50" spans="2:5">
      <c r="B50" s="15"/>
      <c r="C50" s="15"/>
      <c r="D50" s="15"/>
      <c r="E50" s="15"/>
    </row>
    <row r="51" spans="2:5">
      <c r="B51" s="15"/>
      <c r="C51" s="15"/>
      <c r="D51" s="15"/>
      <c r="E51" s="15"/>
    </row>
    <row r="52" spans="2:5">
      <c r="B52" s="15"/>
      <c r="C52" s="15"/>
      <c r="D52" s="15"/>
      <c r="E52" s="15"/>
    </row>
    <row r="53" spans="2:5">
      <c r="B53" s="15"/>
      <c r="C53" s="15"/>
      <c r="D53" s="15"/>
      <c r="E53" s="15"/>
    </row>
    <row r="54" spans="2:5">
      <c r="B54" s="15"/>
      <c r="C54" s="15"/>
      <c r="D54" s="15"/>
      <c r="E54" s="15"/>
    </row>
    <row r="55" spans="2:5">
      <c r="B55" s="15"/>
      <c r="C55" s="15"/>
      <c r="D55" s="15"/>
      <c r="E55" s="15"/>
    </row>
    <row r="56" spans="2:5">
      <c r="B56" s="15"/>
      <c r="C56" s="15"/>
      <c r="D56" s="15"/>
      <c r="E56" s="15"/>
    </row>
    <row r="57" spans="2:5">
      <c r="B57" s="15"/>
      <c r="C57" s="15"/>
      <c r="D57" s="15"/>
      <c r="E57" s="15"/>
    </row>
    <row r="58" spans="2:5">
      <c r="B58" s="15"/>
      <c r="C58" s="15"/>
      <c r="D58" s="15"/>
      <c r="E58" s="15"/>
    </row>
    <row r="59" spans="2:5">
      <c r="B59" s="15"/>
    </row>
  </sheetData>
  <sheetProtection algorithmName="SHA-512" hashValue="qWRaE5qp04PYAPnm1rjv5LjOXt2BVEtS8XShJLJj1ikQY2qmm09nA0bfzzo5zWQ3mJdpitOxrYN7QyHZJMVMMA==" saltValue="UEtMhffiXCWjx2gSZgsEIg==" spinCount="100000" sheet="1" selectLockedCells="1"/>
  <mergeCells count="29">
    <mergeCell ref="B35:E35"/>
    <mergeCell ref="C7:E7"/>
    <mergeCell ref="B34:E34"/>
    <mergeCell ref="C19:D19"/>
    <mergeCell ref="C20:D20"/>
    <mergeCell ref="C21:D21"/>
    <mergeCell ref="C23:D23"/>
    <mergeCell ref="B32:E32"/>
    <mergeCell ref="B33:E33"/>
    <mergeCell ref="C14:D14"/>
    <mergeCell ref="C15:D15"/>
    <mergeCell ref="C17:D17"/>
    <mergeCell ref="C18:D18"/>
    <mergeCell ref="B31:E31"/>
    <mergeCell ref="B30:E30"/>
    <mergeCell ref="B27:D27"/>
    <mergeCell ref="B28:D28"/>
    <mergeCell ref="C25:D25"/>
    <mergeCell ref="C16:D16"/>
    <mergeCell ref="C8:E8"/>
    <mergeCell ref="C10:E10"/>
    <mergeCell ref="C12:E12"/>
    <mergeCell ref="C9:E9"/>
    <mergeCell ref="C11:E11"/>
    <mergeCell ref="C2:E2"/>
    <mergeCell ref="C3:E3"/>
    <mergeCell ref="C4:E4"/>
    <mergeCell ref="D5:E5"/>
    <mergeCell ref="C6:E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257BE48-BB2B-4D30-8A09-C13BD018F0A2}">
          <x14:formula1>
            <xm:f>'Skoler, stedtillæg'!$A$1:$A$99</xm:f>
          </x14:formula1>
          <xm:sqref>C4:E4</xm:sqref>
        </x14:dataValidation>
        <x14:dataValidation type="list" allowBlank="1" showInputMessage="1" showErrorMessage="1" xr:uid="{27733687-692C-46C0-8025-6C36D3A7A5BF}">
          <x14:formula1>
            <xm:f>'Aktuelle data'!$B$62:$B$63</xm:f>
          </x14:formula1>
          <xm:sqref>C7:E7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E40FE-F637-4EF8-B0EB-0D8E8A0484EF}">
  <dimension ref="A1:AR1048576"/>
  <sheetViews>
    <sheetView topLeftCell="A2" zoomScale="141" zoomScaleNormal="141" workbookViewId="0">
      <selection activeCell="AA4" sqref="AA4"/>
    </sheetView>
  </sheetViews>
  <sheetFormatPr baseColWidth="10" defaultColWidth="8.83203125" defaultRowHeight="15"/>
  <cols>
    <col min="1" max="1" width="41.5" bestFit="1" customWidth="1"/>
    <col min="2" max="2" width="14.5" bestFit="1" customWidth="1"/>
    <col min="3" max="6" width="10.1640625" bestFit="1" customWidth="1"/>
    <col min="7" max="7" width="9.83203125" customWidth="1"/>
    <col min="8" max="8" width="9" bestFit="1" customWidth="1"/>
    <col min="9" max="12" width="10.5" bestFit="1" customWidth="1"/>
    <col min="13" max="13" width="10.6640625" bestFit="1" customWidth="1"/>
    <col min="14" max="14" width="9.83203125" customWidth="1"/>
    <col min="15" max="16" width="10.1640625" bestFit="1" customWidth="1"/>
    <col min="17" max="17" width="13" customWidth="1"/>
    <col min="18" max="22" width="10.1640625" bestFit="1" customWidth="1"/>
    <col min="23" max="23" width="9.6640625" bestFit="1" customWidth="1"/>
    <col min="24" max="24" width="9" bestFit="1" customWidth="1"/>
    <col min="25" max="26" width="9.6640625" bestFit="1" customWidth="1"/>
    <col min="27" max="28" width="9" bestFit="1" customWidth="1"/>
    <col min="29" max="29" width="9.1640625" bestFit="1" customWidth="1"/>
    <col min="30" max="30" width="9.6640625" bestFit="1" customWidth="1"/>
    <col min="31" max="31" width="9" bestFit="1" customWidth="1"/>
    <col min="32" max="33" width="9.6640625" bestFit="1" customWidth="1"/>
    <col min="36" max="36" width="21.5" bestFit="1" customWidth="1"/>
    <col min="37" max="37" width="15.83203125" bestFit="1" customWidth="1"/>
    <col min="38" max="38" width="18" bestFit="1" customWidth="1"/>
    <col min="39" max="39" width="17.6640625" bestFit="1" customWidth="1"/>
    <col min="40" max="40" width="15.33203125" bestFit="1" customWidth="1"/>
    <col min="41" max="42" width="8.83203125" bestFit="1" customWidth="1"/>
    <col min="43" max="44" width="9.5" bestFit="1" customWidth="1"/>
  </cols>
  <sheetData>
    <row r="1" spans="1:44" ht="56.5" customHeight="1">
      <c r="A1" s="146" t="s">
        <v>146</v>
      </c>
      <c r="B1" s="146"/>
      <c r="C1" s="146"/>
      <c r="D1" s="146"/>
      <c r="E1" s="146"/>
      <c r="F1" s="146"/>
      <c r="G1" s="146"/>
      <c r="H1" s="146"/>
      <c r="I1" s="146"/>
      <c r="J1" s="146"/>
      <c r="K1" s="146"/>
      <c r="L1" s="146"/>
      <c r="M1" s="147"/>
      <c r="N1" s="147"/>
      <c r="O1" s="147"/>
      <c r="P1" s="147"/>
      <c r="Q1" s="148" t="s">
        <v>0</v>
      </c>
      <c r="R1" s="149"/>
      <c r="S1" s="149"/>
    </row>
    <row r="2" spans="1:44" ht="19">
      <c r="A2" s="619" t="s">
        <v>279</v>
      </c>
      <c r="B2" s="619"/>
      <c r="C2" s="619"/>
      <c r="D2" s="146"/>
      <c r="E2" s="146"/>
      <c r="F2" s="146"/>
      <c r="G2" s="146"/>
      <c r="H2" s="146"/>
      <c r="I2" s="146"/>
      <c r="J2" s="146"/>
      <c r="K2" s="146"/>
      <c r="L2" s="146"/>
      <c r="M2" s="147"/>
      <c r="N2" s="147"/>
      <c r="O2" s="147"/>
      <c r="P2" s="147"/>
      <c r="Q2" s="148"/>
      <c r="R2" s="149"/>
      <c r="S2" s="149"/>
    </row>
    <row r="3" spans="1:44" ht="17" thickBot="1">
      <c r="A3" s="147" t="s">
        <v>1</v>
      </c>
      <c r="B3" s="147"/>
      <c r="C3" s="149"/>
      <c r="D3" s="147"/>
      <c r="E3" s="147"/>
      <c r="F3" s="147"/>
      <c r="G3" s="147"/>
      <c r="H3" s="147"/>
      <c r="I3" s="147"/>
      <c r="J3" s="147"/>
      <c r="K3" s="147"/>
      <c r="L3" s="147"/>
      <c r="M3" s="147"/>
      <c r="N3" s="147"/>
      <c r="O3" s="147"/>
      <c r="P3" s="147"/>
      <c r="Q3" s="147"/>
      <c r="R3" s="149"/>
      <c r="S3" s="149"/>
    </row>
    <row r="4" spans="1:44" ht="16">
      <c r="A4" s="150" t="s">
        <v>2</v>
      </c>
      <c r="B4" s="621" t="s">
        <v>3</v>
      </c>
      <c r="C4" s="621"/>
      <c r="D4" s="621"/>
      <c r="E4" s="621"/>
      <c r="F4" s="621"/>
      <c r="G4" s="151"/>
      <c r="H4" s="150" t="s">
        <v>2</v>
      </c>
      <c r="I4" s="614" t="s">
        <v>4</v>
      </c>
      <c r="J4" s="615"/>
      <c r="K4" s="615"/>
      <c r="L4" s="615"/>
      <c r="M4" s="620"/>
      <c r="N4" s="152"/>
      <c r="O4" s="150" t="s">
        <v>2</v>
      </c>
      <c r="P4" s="614" t="s">
        <v>5</v>
      </c>
      <c r="Q4" s="615"/>
      <c r="R4" s="615"/>
      <c r="S4" s="615"/>
      <c r="T4" s="616"/>
      <c r="V4" t="s">
        <v>206</v>
      </c>
      <c r="AA4" t="s">
        <v>332</v>
      </c>
      <c r="AB4" t="s">
        <v>333</v>
      </c>
      <c r="AC4" s="612" t="s">
        <v>224</v>
      </c>
      <c r="AD4" s="612"/>
      <c r="AE4" s="612"/>
      <c r="AJ4" s="153" t="s">
        <v>17</v>
      </c>
      <c r="AK4" s="154" t="s">
        <v>18</v>
      </c>
      <c r="AL4" s="154" t="s">
        <v>19</v>
      </c>
      <c r="AM4" s="154" t="s">
        <v>20</v>
      </c>
      <c r="AN4" s="155" t="s">
        <v>254</v>
      </c>
    </row>
    <row r="5" spans="1:44" ht="16">
      <c r="A5" s="156" t="s">
        <v>6</v>
      </c>
      <c r="B5" s="621" t="s">
        <v>7</v>
      </c>
      <c r="C5" s="621"/>
      <c r="D5" s="621"/>
      <c r="E5" s="621"/>
      <c r="F5" s="621"/>
      <c r="G5" s="151"/>
      <c r="H5" s="156" t="s">
        <v>6</v>
      </c>
      <c r="I5" s="614" t="s">
        <v>7</v>
      </c>
      <c r="J5" s="615"/>
      <c r="K5" s="615"/>
      <c r="L5" s="615"/>
      <c r="M5" s="620"/>
      <c r="N5" s="152"/>
      <c r="O5" s="156" t="s">
        <v>6</v>
      </c>
      <c r="P5" s="614" t="s">
        <v>7</v>
      </c>
      <c r="Q5" s="615"/>
      <c r="R5" s="615"/>
      <c r="S5" s="615"/>
      <c r="T5" s="616"/>
      <c r="AJ5" s="157" t="s">
        <v>23</v>
      </c>
      <c r="AK5" s="158" t="s">
        <v>24</v>
      </c>
      <c r="AL5" s="159">
        <v>99</v>
      </c>
      <c r="AM5" s="159">
        <v>198</v>
      </c>
      <c r="AN5" s="160">
        <f>AL5+AM5</f>
        <v>297</v>
      </c>
    </row>
    <row r="6" spans="1:44" ht="48">
      <c r="A6" s="161"/>
      <c r="B6" s="162">
        <v>0</v>
      </c>
      <c r="C6" s="163">
        <v>1</v>
      </c>
      <c r="D6" s="163">
        <v>2</v>
      </c>
      <c r="E6" s="163">
        <v>3</v>
      </c>
      <c r="F6" s="163">
        <v>4</v>
      </c>
      <c r="G6" s="164"/>
      <c r="H6" s="165"/>
      <c r="I6" s="163">
        <v>0</v>
      </c>
      <c r="J6" s="163">
        <v>1</v>
      </c>
      <c r="K6" s="163">
        <v>2</v>
      </c>
      <c r="L6" s="163">
        <v>3</v>
      </c>
      <c r="M6" s="163">
        <v>4</v>
      </c>
      <c r="N6" s="164"/>
      <c r="O6" s="165"/>
      <c r="P6" s="162">
        <v>0</v>
      </c>
      <c r="Q6" s="163">
        <v>1</v>
      </c>
      <c r="R6" s="163">
        <v>2</v>
      </c>
      <c r="S6" s="163">
        <v>3</v>
      </c>
      <c r="T6" s="163">
        <v>4</v>
      </c>
      <c r="V6" s="166" t="s">
        <v>205</v>
      </c>
      <c r="W6" s="166" t="s">
        <v>201</v>
      </c>
      <c r="X6" s="166" t="s">
        <v>202</v>
      </c>
      <c r="Y6" s="166" t="s">
        <v>203</v>
      </c>
      <c r="Z6" s="166" t="s">
        <v>204</v>
      </c>
      <c r="AC6" s="166" t="s">
        <v>221</v>
      </c>
      <c r="AD6" s="166" t="s">
        <v>201</v>
      </c>
      <c r="AE6" s="166" t="s">
        <v>202</v>
      </c>
      <c r="AF6" s="166" t="s">
        <v>203</v>
      </c>
      <c r="AG6" s="167" t="s">
        <v>204</v>
      </c>
      <c r="AJ6" s="157" t="s">
        <v>270</v>
      </c>
      <c r="AK6" s="158" t="s">
        <v>27</v>
      </c>
      <c r="AL6" s="159">
        <v>66</v>
      </c>
      <c r="AM6" s="159">
        <v>132</v>
      </c>
      <c r="AN6" s="160">
        <f t="shared" ref="AN6:AN8" si="0">AL6+AM6</f>
        <v>198</v>
      </c>
    </row>
    <row r="7" spans="1:44" ht="16">
      <c r="A7" s="168"/>
      <c r="B7" s="169"/>
      <c r="C7" s="170"/>
      <c r="D7" s="170"/>
      <c r="E7" s="170"/>
      <c r="F7" s="171"/>
      <c r="G7" s="172"/>
      <c r="H7" s="173"/>
      <c r="I7" s="174"/>
      <c r="J7" s="175"/>
      <c r="K7" s="175"/>
      <c r="L7" s="175"/>
      <c r="M7" s="175"/>
      <c r="N7" s="176"/>
      <c r="O7" s="173"/>
      <c r="P7" s="177"/>
      <c r="Q7" s="178"/>
      <c r="R7" s="178"/>
      <c r="S7" s="178"/>
      <c r="T7" s="179"/>
      <c r="U7" s="180">
        <f>C37</f>
        <v>1.653378</v>
      </c>
      <c r="V7" s="181">
        <v>1000</v>
      </c>
      <c r="W7" s="182">
        <f>V7*U7</f>
        <v>1653.3779999999999</v>
      </c>
      <c r="X7" s="182">
        <f>W7/12</f>
        <v>137.78149999999999</v>
      </c>
      <c r="Y7" s="182">
        <f>W7*AA7/100</f>
        <v>276.94081499999999</v>
      </c>
      <c r="Z7" s="182">
        <f>W7+Y7</f>
        <v>1930.3188149999999</v>
      </c>
      <c r="AA7" s="149">
        <f>C38</f>
        <v>16.75</v>
      </c>
      <c r="AB7" s="183">
        <f>C39</f>
        <v>19.52</v>
      </c>
      <c r="AC7" s="181">
        <v>1000</v>
      </c>
      <c r="AD7" s="182">
        <f>AC7*U7</f>
        <v>1653.3779999999999</v>
      </c>
      <c r="AE7" s="182">
        <f>AD7/12</f>
        <v>137.78149999999999</v>
      </c>
      <c r="AF7" s="182">
        <f>AD7*AB7/100</f>
        <v>322.73938559999999</v>
      </c>
      <c r="AG7" s="182">
        <f>AD7+AF7</f>
        <v>1976.1173856</v>
      </c>
      <c r="AH7" s="184"/>
      <c r="AI7" s="184"/>
      <c r="AJ7" s="185" t="s">
        <v>269</v>
      </c>
      <c r="AK7" s="186" t="s">
        <v>271</v>
      </c>
      <c r="AL7" s="187">
        <v>33</v>
      </c>
      <c r="AM7" s="187">
        <v>66</v>
      </c>
      <c r="AN7" s="160">
        <f t="shared" si="0"/>
        <v>99</v>
      </c>
      <c r="AO7" s="184"/>
      <c r="AP7" s="184"/>
      <c r="AQ7" s="184"/>
      <c r="AR7" s="184"/>
    </row>
    <row r="8" spans="1:44" ht="18" thickBot="1">
      <c r="A8" s="168">
        <v>29</v>
      </c>
      <c r="B8" s="320">
        <v>382246</v>
      </c>
      <c r="C8" s="321">
        <v>386646</v>
      </c>
      <c r="D8" s="321">
        <v>389690</v>
      </c>
      <c r="E8" s="321">
        <v>394087</v>
      </c>
      <c r="F8" s="322">
        <v>397133</v>
      </c>
      <c r="G8" s="172"/>
      <c r="H8" s="173">
        <v>29</v>
      </c>
      <c r="I8" s="326">
        <v>31853.83</v>
      </c>
      <c r="J8" s="327">
        <v>32220.5</v>
      </c>
      <c r="K8" s="327">
        <v>32474.17</v>
      </c>
      <c r="L8" s="327">
        <v>32840.58</v>
      </c>
      <c r="M8" s="327">
        <v>33094.42</v>
      </c>
      <c r="N8" s="176"/>
      <c r="O8" s="173">
        <v>29</v>
      </c>
      <c r="P8" s="330">
        <v>382246</v>
      </c>
      <c r="Q8" s="331">
        <v>386646</v>
      </c>
      <c r="R8" s="331">
        <v>389690</v>
      </c>
      <c r="S8" s="331">
        <v>394087</v>
      </c>
      <c r="T8" s="332">
        <v>397133</v>
      </c>
      <c r="U8" s="188">
        <f>C37</f>
        <v>1.653378</v>
      </c>
      <c r="V8" s="189">
        <v>1500</v>
      </c>
      <c r="W8" s="182">
        <f t="shared" ref="W8:W27" si="1">V8*U8</f>
        <v>2480.067</v>
      </c>
      <c r="X8" s="182">
        <f t="shared" ref="X8:X27" si="2">W8/12</f>
        <v>206.67224999999999</v>
      </c>
      <c r="Y8" s="182">
        <f t="shared" ref="Y8:Y27" si="3">W8*AA8/100</f>
        <v>415.41122250000001</v>
      </c>
      <c r="Z8" s="182">
        <f t="shared" ref="Z8:Z27" si="4">W8+Y8</f>
        <v>2895.4782224999999</v>
      </c>
      <c r="AA8" s="149">
        <f>C38</f>
        <v>16.75</v>
      </c>
      <c r="AB8" s="183">
        <f>C39</f>
        <v>19.52</v>
      </c>
      <c r="AC8" s="189">
        <v>1500</v>
      </c>
      <c r="AD8" s="182">
        <f t="shared" ref="AD8:AD27" si="5">AC8*U8</f>
        <v>2480.067</v>
      </c>
      <c r="AE8" s="182">
        <f t="shared" ref="AE8:AE27" si="6">AD8/12</f>
        <v>206.67224999999999</v>
      </c>
      <c r="AF8" s="182">
        <f t="shared" ref="AF8:AF27" si="7">AD8*AB8/100</f>
        <v>484.10907839999999</v>
      </c>
      <c r="AG8" s="182">
        <f t="shared" ref="AG8:AG26" si="8">AD8+AF8</f>
        <v>2964.1760783999998</v>
      </c>
      <c r="AH8" s="184"/>
      <c r="AI8" s="184"/>
      <c r="AJ8" s="190" t="s">
        <v>268</v>
      </c>
      <c r="AK8" s="191" t="s">
        <v>31</v>
      </c>
      <c r="AL8" s="192">
        <v>0</v>
      </c>
      <c r="AM8" s="192">
        <v>0</v>
      </c>
      <c r="AN8" s="193">
        <f t="shared" si="0"/>
        <v>0</v>
      </c>
      <c r="AO8" s="184"/>
      <c r="AP8" s="184"/>
      <c r="AQ8" s="184"/>
      <c r="AR8" s="184"/>
    </row>
    <row r="9" spans="1:44" ht="16">
      <c r="A9" s="194">
        <v>30</v>
      </c>
      <c r="B9" s="323">
        <v>388651</v>
      </c>
      <c r="C9" s="324">
        <v>392816</v>
      </c>
      <c r="D9" s="324">
        <v>395701</v>
      </c>
      <c r="E9" s="324">
        <v>399864</v>
      </c>
      <c r="F9" s="325">
        <v>402748</v>
      </c>
      <c r="G9" s="172"/>
      <c r="H9" s="173">
        <v>30</v>
      </c>
      <c r="I9" s="328">
        <v>32387.58</v>
      </c>
      <c r="J9" s="329">
        <v>32734.67</v>
      </c>
      <c r="K9" s="329">
        <v>32975.08</v>
      </c>
      <c r="L9" s="329">
        <v>33322</v>
      </c>
      <c r="M9" s="329">
        <v>33562.33</v>
      </c>
      <c r="N9" s="176"/>
      <c r="O9" s="173">
        <v>30</v>
      </c>
      <c r="P9" s="333">
        <v>388651</v>
      </c>
      <c r="Q9" s="334">
        <v>392816</v>
      </c>
      <c r="R9" s="334">
        <v>395701</v>
      </c>
      <c r="S9" s="334">
        <v>399864</v>
      </c>
      <c r="T9" s="335">
        <v>402748</v>
      </c>
      <c r="U9" s="188">
        <f>C37</f>
        <v>1.653378</v>
      </c>
      <c r="V9" s="195">
        <v>2500</v>
      </c>
      <c r="W9" s="182">
        <f t="shared" si="1"/>
        <v>4133.4449999999997</v>
      </c>
      <c r="X9" s="182">
        <f t="shared" si="2"/>
        <v>344.45374999999996</v>
      </c>
      <c r="Y9" s="182">
        <f t="shared" si="3"/>
        <v>692.35203750000005</v>
      </c>
      <c r="Z9" s="182">
        <f t="shared" si="4"/>
        <v>4825.7970374999995</v>
      </c>
      <c r="AA9" s="149">
        <f>C38</f>
        <v>16.75</v>
      </c>
      <c r="AB9" s="183">
        <f>C39</f>
        <v>19.52</v>
      </c>
      <c r="AC9" s="195">
        <v>2500</v>
      </c>
      <c r="AD9" s="182">
        <f t="shared" si="5"/>
        <v>4133.4449999999997</v>
      </c>
      <c r="AE9" s="182">
        <f t="shared" si="6"/>
        <v>344.45374999999996</v>
      </c>
      <c r="AF9" s="182">
        <f t="shared" si="7"/>
        <v>806.84846399999992</v>
      </c>
      <c r="AG9" s="182">
        <f t="shared" si="8"/>
        <v>4940.2934639999994</v>
      </c>
      <c r="AH9" s="184"/>
      <c r="AI9" s="184"/>
      <c r="AJ9" s="184"/>
      <c r="AK9" s="184"/>
      <c r="AL9" s="184"/>
      <c r="AM9" s="184"/>
      <c r="AN9" s="184"/>
      <c r="AO9" s="184"/>
      <c r="AP9" s="184"/>
      <c r="AQ9" s="184"/>
      <c r="AR9" s="184"/>
    </row>
    <row r="10" spans="1:44" ht="16">
      <c r="A10" s="168">
        <v>31</v>
      </c>
      <c r="B10" s="320">
        <v>395202</v>
      </c>
      <c r="C10" s="321">
        <v>399121</v>
      </c>
      <c r="D10" s="321">
        <v>401832</v>
      </c>
      <c r="E10" s="321">
        <v>405751</v>
      </c>
      <c r="F10" s="322">
        <v>408462</v>
      </c>
      <c r="G10" s="172"/>
      <c r="H10" s="173">
        <v>31</v>
      </c>
      <c r="I10" s="326">
        <v>32933.5</v>
      </c>
      <c r="J10" s="327">
        <v>33260.080000000002</v>
      </c>
      <c r="K10" s="327">
        <v>33486</v>
      </c>
      <c r="L10" s="327">
        <v>33812.58</v>
      </c>
      <c r="M10" s="327">
        <v>34038.5</v>
      </c>
      <c r="N10" s="176"/>
      <c r="O10" s="173">
        <v>31</v>
      </c>
      <c r="P10" s="330">
        <v>395202</v>
      </c>
      <c r="Q10" s="331">
        <v>399121</v>
      </c>
      <c r="R10" s="331">
        <v>401832</v>
      </c>
      <c r="S10" s="331">
        <v>405751</v>
      </c>
      <c r="T10" s="332">
        <v>408462</v>
      </c>
      <c r="U10" s="188">
        <f>C37</f>
        <v>1.653378</v>
      </c>
      <c r="V10" s="189">
        <v>2800</v>
      </c>
      <c r="W10" s="182">
        <f t="shared" si="1"/>
        <v>4629.4584000000004</v>
      </c>
      <c r="X10" s="182">
        <f t="shared" si="2"/>
        <v>385.78820000000002</v>
      </c>
      <c r="Y10" s="182">
        <f t="shared" si="3"/>
        <v>775.43428200000005</v>
      </c>
      <c r="Z10" s="182">
        <f t="shared" si="4"/>
        <v>5404.8926820000006</v>
      </c>
      <c r="AA10" s="149">
        <f>C38</f>
        <v>16.75</v>
      </c>
      <c r="AB10" s="183">
        <f>C39</f>
        <v>19.52</v>
      </c>
      <c r="AC10" s="189">
        <v>2800</v>
      </c>
      <c r="AD10" s="182">
        <f t="shared" si="5"/>
        <v>4629.4584000000004</v>
      </c>
      <c r="AE10" s="182">
        <f t="shared" si="6"/>
        <v>385.78820000000002</v>
      </c>
      <c r="AF10" s="182">
        <f t="shared" si="7"/>
        <v>903.67027968000014</v>
      </c>
      <c r="AG10" s="182">
        <f t="shared" si="8"/>
        <v>5533.1286796800005</v>
      </c>
      <c r="AH10" s="184"/>
      <c r="AI10" s="184"/>
      <c r="AJ10" s="184"/>
      <c r="AK10" s="184"/>
      <c r="AL10" s="184"/>
      <c r="AM10" s="184"/>
      <c r="AN10" s="184"/>
      <c r="AO10" s="184"/>
      <c r="AP10" s="184"/>
      <c r="AQ10" s="184"/>
      <c r="AR10" s="184"/>
    </row>
    <row r="11" spans="1:44" ht="16">
      <c r="A11" s="168">
        <v>32</v>
      </c>
      <c r="B11" s="320">
        <v>401898</v>
      </c>
      <c r="C11" s="321">
        <v>405552</v>
      </c>
      <c r="D11" s="321">
        <v>408080</v>
      </c>
      <c r="E11" s="321">
        <v>411736</v>
      </c>
      <c r="F11" s="322">
        <v>414265</v>
      </c>
      <c r="G11" s="172"/>
      <c r="H11" s="173">
        <v>32</v>
      </c>
      <c r="I11" s="326">
        <v>33491.5</v>
      </c>
      <c r="J11" s="327">
        <v>33796</v>
      </c>
      <c r="K11" s="327">
        <v>34006.67</v>
      </c>
      <c r="L11" s="327">
        <v>34311.33</v>
      </c>
      <c r="M11" s="327">
        <v>34522.080000000002</v>
      </c>
      <c r="N11" s="176"/>
      <c r="O11" s="173">
        <v>32</v>
      </c>
      <c r="P11" s="330">
        <v>401898</v>
      </c>
      <c r="Q11" s="331">
        <v>405552</v>
      </c>
      <c r="R11" s="331">
        <v>408080</v>
      </c>
      <c r="S11" s="331">
        <v>411736</v>
      </c>
      <c r="T11" s="332">
        <v>414265</v>
      </c>
      <c r="U11" s="188">
        <f>C37</f>
        <v>1.653378</v>
      </c>
      <c r="V11" s="189">
        <v>3100</v>
      </c>
      <c r="W11" s="182">
        <f t="shared" si="1"/>
        <v>5125.4718000000003</v>
      </c>
      <c r="X11" s="182">
        <f t="shared" si="2"/>
        <v>427.12265000000002</v>
      </c>
      <c r="Y11" s="182">
        <f t="shared" si="3"/>
        <v>858.51652650000005</v>
      </c>
      <c r="Z11" s="182">
        <f t="shared" si="4"/>
        <v>5983.9883265000008</v>
      </c>
      <c r="AA11" s="149">
        <f>C38</f>
        <v>16.75</v>
      </c>
      <c r="AB11" s="183">
        <f>C39</f>
        <v>19.52</v>
      </c>
      <c r="AC11" s="189">
        <v>3100</v>
      </c>
      <c r="AD11" s="182">
        <f t="shared" si="5"/>
        <v>5125.4718000000003</v>
      </c>
      <c r="AE11" s="182">
        <f t="shared" si="6"/>
        <v>427.12265000000002</v>
      </c>
      <c r="AF11" s="182">
        <f t="shared" si="7"/>
        <v>1000.4920953600001</v>
      </c>
      <c r="AG11" s="182">
        <f t="shared" si="8"/>
        <v>6125.9638953600006</v>
      </c>
      <c r="AH11" s="184"/>
      <c r="AI11" s="184"/>
      <c r="AJ11" s="184"/>
      <c r="AK11" s="184"/>
      <c r="AL11" s="184"/>
      <c r="AM11" s="184"/>
      <c r="AN11" s="184"/>
      <c r="AO11" s="184"/>
      <c r="AP11" s="184"/>
      <c r="AQ11" s="184"/>
      <c r="AR11" s="184"/>
    </row>
    <row r="12" spans="1:44" ht="16">
      <c r="A12" s="168">
        <v>33</v>
      </c>
      <c r="B12" s="320">
        <v>408740</v>
      </c>
      <c r="C12" s="321">
        <v>412115</v>
      </c>
      <c r="D12" s="321">
        <v>414451</v>
      </c>
      <c r="E12" s="321">
        <v>417825</v>
      </c>
      <c r="F12" s="322">
        <v>420160</v>
      </c>
      <c r="G12" s="172"/>
      <c r="H12" s="173">
        <v>33</v>
      </c>
      <c r="I12" s="326">
        <v>34061.67</v>
      </c>
      <c r="J12" s="327">
        <v>34342.92</v>
      </c>
      <c r="K12" s="327">
        <v>34537.58</v>
      </c>
      <c r="L12" s="327">
        <v>34818.75</v>
      </c>
      <c r="M12" s="327">
        <v>35013.33</v>
      </c>
      <c r="N12" s="176"/>
      <c r="O12" s="173">
        <v>33</v>
      </c>
      <c r="P12" s="330">
        <v>408740</v>
      </c>
      <c r="Q12" s="331">
        <v>412115</v>
      </c>
      <c r="R12" s="331">
        <v>414451</v>
      </c>
      <c r="S12" s="331">
        <v>417825</v>
      </c>
      <c r="T12" s="332">
        <v>420160</v>
      </c>
      <c r="U12">
        <f>C37</f>
        <v>1.653378</v>
      </c>
      <c r="V12" s="189">
        <v>3400</v>
      </c>
      <c r="W12" s="182">
        <f t="shared" si="1"/>
        <v>5621.4852000000001</v>
      </c>
      <c r="X12" s="182">
        <f t="shared" si="2"/>
        <v>468.45710000000003</v>
      </c>
      <c r="Y12" s="182">
        <f t="shared" si="3"/>
        <v>941.59877099999994</v>
      </c>
      <c r="Z12" s="182">
        <f t="shared" si="4"/>
        <v>6563.083971</v>
      </c>
      <c r="AA12" s="149">
        <f>C38</f>
        <v>16.75</v>
      </c>
      <c r="AB12" s="196">
        <f>C39</f>
        <v>19.52</v>
      </c>
      <c r="AC12" s="189">
        <v>3400</v>
      </c>
      <c r="AD12" s="182">
        <f t="shared" si="5"/>
        <v>5621.4852000000001</v>
      </c>
      <c r="AE12" s="182">
        <f t="shared" si="6"/>
        <v>468.45710000000003</v>
      </c>
      <c r="AF12" s="182">
        <f t="shared" si="7"/>
        <v>1097.31391104</v>
      </c>
      <c r="AG12" s="182">
        <f t="shared" si="8"/>
        <v>6718.7991110399998</v>
      </c>
    </row>
    <row r="13" spans="1:44" ht="16">
      <c r="A13" s="168">
        <v>34</v>
      </c>
      <c r="B13" s="320">
        <v>415740</v>
      </c>
      <c r="C13" s="321">
        <v>418819</v>
      </c>
      <c r="D13" s="321">
        <v>420948</v>
      </c>
      <c r="E13" s="321">
        <v>424027</v>
      </c>
      <c r="F13" s="322">
        <v>426158</v>
      </c>
      <c r="G13" s="172"/>
      <c r="H13" s="173">
        <v>34</v>
      </c>
      <c r="I13" s="326">
        <v>34645</v>
      </c>
      <c r="J13" s="327">
        <v>34901.58</v>
      </c>
      <c r="K13" s="327">
        <v>35079</v>
      </c>
      <c r="L13" s="327">
        <v>35335.58</v>
      </c>
      <c r="M13" s="327">
        <v>35513.17</v>
      </c>
      <c r="N13" s="176"/>
      <c r="O13" s="173">
        <v>34</v>
      </c>
      <c r="P13" s="330">
        <v>415740</v>
      </c>
      <c r="Q13" s="331">
        <v>418819</v>
      </c>
      <c r="R13" s="331">
        <v>420948</v>
      </c>
      <c r="S13" s="331">
        <v>424027</v>
      </c>
      <c r="T13" s="332">
        <v>426158</v>
      </c>
      <c r="U13">
        <f>C37</f>
        <v>1.653378</v>
      </c>
      <c r="V13" s="189">
        <v>3600</v>
      </c>
      <c r="W13" s="182">
        <f t="shared" si="1"/>
        <v>5952.1607999999997</v>
      </c>
      <c r="X13" s="182">
        <f t="shared" si="2"/>
        <v>496.01339999999999</v>
      </c>
      <c r="Y13" s="182">
        <f t="shared" si="3"/>
        <v>996.98693399999991</v>
      </c>
      <c r="Z13" s="182">
        <f t="shared" si="4"/>
        <v>6949.1477339999992</v>
      </c>
      <c r="AA13" s="149">
        <f>C38</f>
        <v>16.75</v>
      </c>
      <c r="AB13" s="196">
        <f>C39</f>
        <v>19.52</v>
      </c>
      <c r="AC13" s="189">
        <v>3600</v>
      </c>
      <c r="AD13" s="182">
        <f t="shared" si="5"/>
        <v>5952.1607999999997</v>
      </c>
      <c r="AE13" s="182">
        <f t="shared" si="6"/>
        <v>496.01339999999999</v>
      </c>
      <c r="AF13" s="182">
        <f t="shared" si="7"/>
        <v>1161.8617881599998</v>
      </c>
      <c r="AG13" s="182">
        <f t="shared" si="8"/>
        <v>7114.0225881599999</v>
      </c>
    </row>
    <row r="14" spans="1:44" ht="16">
      <c r="A14" s="194">
        <v>35</v>
      </c>
      <c r="B14" s="323">
        <v>422888</v>
      </c>
      <c r="C14" s="324">
        <v>425652</v>
      </c>
      <c r="D14" s="324">
        <v>427565</v>
      </c>
      <c r="E14" s="324">
        <v>430328</v>
      </c>
      <c r="F14" s="325">
        <v>432243</v>
      </c>
      <c r="G14" s="172"/>
      <c r="H14" s="173">
        <v>35</v>
      </c>
      <c r="I14" s="328">
        <v>35240.67</v>
      </c>
      <c r="J14" s="329">
        <v>35471</v>
      </c>
      <c r="K14" s="329">
        <v>35630.42</v>
      </c>
      <c r="L14" s="329">
        <v>35860.67</v>
      </c>
      <c r="M14" s="329">
        <v>36020.25</v>
      </c>
      <c r="N14" s="176"/>
      <c r="O14" s="173">
        <v>35</v>
      </c>
      <c r="P14" s="333">
        <v>422888</v>
      </c>
      <c r="Q14" s="334">
        <v>425652</v>
      </c>
      <c r="R14" s="334">
        <v>427565</v>
      </c>
      <c r="S14" s="334">
        <v>430328</v>
      </c>
      <c r="T14" s="335">
        <v>432243</v>
      </c>
      <c r="U14">
        <f>C37</f>
        <v>1.653378</v>
      </c>
      <c r="V14" s="189">
        <v>3800</v>
      </c>
      <c r="W14" s="182">
        <f t="shared" si="1"/>
        <v>6282.8364000000001</v>
      </c>
      <c r="X14" s="182">
        <f t="shared" si="2"/>
        <v>523.56970000000001</v>
      </c>
      <c r="Y14" s="182">
        <f t="shared" si="3"/>
        <v>1052.3750969999999</v>
      </c>
      <c r="Z14" s="182">
        <f t="shared" si="4"/>
        <v>7335.2114970000002</v>
      </c>
      <c r="AA14" s="149">
        <f>C38</f>
        <v>16.75</v>
      </c>
      <c r="AB14" s="196">
        <f>C39</f>
        <v>19.52</v>
      </c>
      <c r="AC14" s="189">
        <v>3800</v>
      </c>
      <c r="AD14" s="182">
        <f t="shared" si="5"/>
        <v>6282.8364000000001</v>
      </c>
      <c r="AE14" s="182">
        <f t="shared" si="6"/>
        <v>523.56970000000001</v>
      </c>
      <c r="AF14" s="182">
        <f t="shared" si="7"/>
        <v>1226.4096652800001</v>
      </c>
      <c r="AG14" s="182">
        <f t="shared" si="8"/>
        <v>7509.24606528</v>
      </c>
    </row>
    <row r="15" spans="1:44" ht="16">
      <c r="A15" s="168">
        <v>36</v>
      </c>
      <c r="B15" s="320">
        <v>430199</v>
      </c>
      <c r="C15" s="321">
        <v>432631</v>
      </c>
      <c r="D15" s="321">
        <v>434313</v>
      </c>
      <c r="E15" s="321">
        <v>436743</v>
      </c>
      <c r="F15" s="322">
        <v>438426</v>
      </c>
      <c r="G15" s="172"/>
      <c r="H15" s="173">
        <v>36</v>
      </c>
      <c r="I15" s="326">
        <v>35849.919999999998</v>
      </c>
      <c r="J15" s="327">
        <v>36052.58</v>
      </c>
      <c r="K15" s="327">
        <v>36192.75</v>
      </c>
      <c r="L15" s="327">
        <v>36395.25</v>
      </c>
      <c r="M15" s="327">
        <v>36535.5</v>
      </c>
      <c r="N15" s="176"/>
      <c r="O15" s="173">
        <v>36</v>
      </c>
      <c r="P15" s="330">
        <v>430199</v>
      </c>
      <c r="Q15" s="331">
        <v>432631</v>
      </c>
      <c r="R15" s="331">
        <v>434313</v>
      </c>
      <c r="S15" s="331">
        <v>436743</v>
      </c>
      <c r="T15" s="332">
        <v>438426</v>
      </c>
      <c r="U15">
        <f>C37</f>
        <v>1.653378</v>
      </c>
      <c r="V15" s="189">
        <v>4100</v>
      </c>
      <c r="W15" s="182">
        <f t="shared" si="1"/>
        <v>6778.8498</v>
      </c>
      <c r="X15" s="182">
        <f t="shared" si="2"/>
        <v>564.90414999999996</v>
      </c>
      <c r="Y15" s="182">
        <f t="shared" si="3"/>
        <v>1135.4573415</v>
      </c>
      <c r="Z15" s="182">
        <f t="shared" si="4"/>
        <v>7914.3071414999995</v>
      </c>
      <c r="AA15" s="149">
        <f>C38</f>
        <v>16.75</v>
      </c>
      <c r="AB15" s="196">
        <f>C39</f>
        <v>19.52</v>
      </c>
      <c r="AC15" s="189">
        <v>4100</v>
      </c>
      <c r="AD15" s="182">
        <f t="shared" si="5"/>
        <v>6778.8498</v>
      </c>
      <c r="AE15" s="182">
        <f t="shared" si="6"/>
        <v>564.90414999999996</v>
      </c>
      <c r="AF15" s="182">
        <f t="shared" si="7"/>
        <v>1323.23148096</v>
      </c>
      <c r="AG15" s="182">
        <f t="shared" si="8"/>
        <v>8102.0812809600002</v>
      </c>
    </row>
    <row r="16" spans="1:44" ht="16">
      <c r="A16" s="168">
        <v>37</v>
      </c>
      <c r="B16" s="320">
        <v>437669</v>
      </c>
      <c r="C16" s="321">
        <v>439747</v>
      </c>
      <c r="D16" s="321">
        <v>441187</v>
      </c>
      <c r="E16" s="321">
        <v>443266</v>
      </c>
      <c r="F16" s="322">
        <v>444704</v>
      </c>
      <c r="G16" s="172"/>
      <c r="H16" s="173">
        <v>37</v>
      </c>
      <c r="I16" s="326">
        <v>36472.42</v>
      </c>
      <c r="J16" s="327">
        <v>36645.58</v>
      </c>
      <c r="K16" s="327">
        <v>36765.58</v>
      </c>
      <c r="L16" s="327">
        <v>36938.83</v>
      </c>
      <c r="M16" s="327">
        <v>37058.67</v>
      </c>
      <c r="N16" s="176"/>
      <c r="O16" s="173">
        <v>37</v>
      </c>
      <c r="P16" s="330">
        <v>437669</v>
      </c>
      <c r="Q16" s="331">
        <v>439747</v>
      </c>
      <c r="R16" s="331">
        <v>441187</v>
      </c>
      <c r="S16" s="331">
        <v>443266</v>
      </c>
      <c r="T16" s="332">
        <v>444704</v>
      </c>
      <c r="U16">
        <f>C37</f>
        <v>1.653378</v>
      </c>
      <c r="V16" s="189">
        <v>4300</v>
      </c>
      <c r="W16" s="182">
        <f t="shared" si="1"/>
        <v>7109.5254000000004</v>
      </c>
      <c r="X16" s="182">
        <f t="shared" si="2"/>
        <v>592.46045000000004</v>
      </c>
      <c r="Y16" s="182">
        <f t="shared" si="3"/>
        <v>1190.8455045000001</v>
      </c>
      <c r="Z16" s="182">
        <f t="shared" si="4"/>
        <v>8300.3709044999996</v>
      </c>
      <c r="AA16" s="149">
        <f>C38</f>
        <v>16.75</v>
      </c>
      <c r="AB16" s="196">
        <f>C39</f>
        <v>19.52</v>
      </c>
      <c r="AC16" s="189">
        <v>4300</v>
      </c>
      <c r="AD16" s="182">
        <f t="shared" si="5"/>
        <v>7109.5254000000004</v>
      </c>
      <c r="AE16" s="182">
        <f t="shared" si="6"/>
        <v>592.46045000000004</v>
      </c>
      <c r="AF16" s="182">
        <f t="shared" si="7"/>
        <v>1387.7793580800001</v>
      </c>
      <c r="AG16" s="182">
        <f t="shared" si="8"/>
        <v>8497.3047580800012</v>
      </c>
    </row>
    <row r="17" spans="1:33" ht="16">
      <c r="A17" s="168">
        <v>38</v>
      </c>
      <c r="B17" s="320">
        <v>445599</v>
      </c>
      <c r="C17" s="321">
        <v>447338</v>
      </c>
      <c r="D17" s="321">
        <v>448544</v>
      </c>
      <c r="E17" s="321">
        <v>450283</v>
      </c>
      <c r="F17" s="322">
        <v>451490</v>
      </c>
      <c r="G17" s="172"/>
      <c r="H17" s="173">
        <v>38</v>
      </c>
      <c r="I17" s="326">
        <v>37133.25</v>
      </c>
      <c r="J17" s="327">
        <v>37278.17</v>
      </c>
      <c r="K17" s="327">
        <v>37378.67</v>
      </c>
      <c r="L17" s="327">
        <v>37523.58</v>
      </c>
      <c r="M17" s="327">
        <v>37624.17</v>
      </c>
      <c r="N17" s="176"/>
      <c r="O17" s="173">
        <v>38</v>
      </c>
      <c r="P17" s="330">
        <v>445599</v>
      </c>
      <c r="Q17" s="331">
        <v>447338</v>
      </c>
      <c r="R17" s="331">
        <v>448544</v>
      </c>
      <c r="S17" s="331">
        <v>450283</v>
      </c>
      <c r="T17" s="332">
        <v>451490</v>
      </c>
      <c r="U17">
        <f>C37</f>
        <v>1.653378</v>
      </c>
      <c r="V17" s="189">
        <v>4800</v>
      </c>
      <c r="W17" s="182">
        <f t="shared" si="1"/>
        <v>7936.2143999999998</v>
      </c>
      <c r="X17" s="182">
        <f t="shared" si="2"/>
        <v>661.35119999999995</v>
      </c>
      <c r="Y17" s="182">
        <f t="shared" si="3"/>
        <v>1329.315912</v>
      </c>
      <c r="Z17" s="182">
        <f t="shared" si="4"/>
        <v>9265.530311999999</v>
      </c>
      <c r="AA17" s="149">
        <f>C38</f>
        <v>16.75</v>
      </c>
      <c r="AB17" s="196">
        <f>C39</f>
        <v>19.52</v>
      </c>
      <c r="AC17" s="189">
        <v>4800</v>
      </c>
      <c r="AD17" s="182">
        <f t="shared" si="5"/>
        <v>7936.2143999999998</v>
      </c>
      <c r="AE17" s="182">
        <f t="shared" si="6"/>
        <v>661.35119999999995</v>
      </c>
      <c r="AF17" s="182">
        <f t="shared" si="7"/>
        <v>1549.14905088</v>
      </c>
      <c r="AG17" s="182">
        <f t="shared" si="8"/>
        <v>9485.3634508800005</v>
      </c>
    </row>
    <row r="18" spans="1:33" ht="16">
      <c r="A18" s="168">
        <v>39</v>
      </c>
      <c r="B18" s="320">
        <v>453560</v>
      </c>
      <c r="C18" s="321">
        <v>454899</v>
      </c>
      <c r="D18" s="321">
        <v>455827</v>
      </c>
      <c r="E18" s="321">
        <v>457166</v>
      </c>
      <c r="F18" s="322">
        <v>458095</v>
      </c>
      <c r="G18" s="172"/>
      <c r="H18" s="173">
        <v>39</v>
      </c>
      <c r="I18" s="326">
        <v>37796.67</v>
      </c>
      <c r="J18" s="327">
        <v>37908.25</v>
      </c>
      <c r="K18" s="327">
        <v>37985.58</v>
      </c>
      <c r="L18" s="327">
        <v>38097.17</v>
      </c>
      <c r="M18" s="327">
        <v>38174.58</v>
      </c>
      <c r="N18" s="176"/>
      <c r="O18" s="173">
        <v>39</v>
      </c>
      <c r="P18" s="330">
        <v>453560</v>
      </c>
      <c r="Q18" s="331">
        <v>454899</v>
      </c>
      <c r="R18" s="331">
        <v>455827</v>
      </c>
      <c r="S18" s="331">
        <v>457166</v>
      </c>
      <c r="T18" s="332">
        <v>458095</v>
      </c>
      <c r="U18">
        <f>C37</f>
        <v>1.653378</v>
      </c>
      <c r="V18" s="189">
        <v>4900</v>
      </c>
      <c r="W18" s="182">
        <f t="shared" si="1"/>
        <v>8101.5522000000001</v>
      </c>
      <c r="X18" s="182">
        <f t="shared" si="2"/>
        <v>675.12935000000004</v>
      </c>
      <c r="Y18" s="182">
        <f t="shared" si="3"/>
        <v>1357.0099935000001</v>
      </c>
      <c r="Z18" s="182">
        <f t="shared" si="4"/>
        <v>9458.5621934999999</v>
      </c>
      <c r="AA18" s="149">
        <f>C38</f>
        <v>16.75</v>
      </c>
      <c r="AB18" s="196">
        <f>C39</f>
        <v>19.52</v>
      </c>
      <c r="AC18" s="189">
        <v>4900</v>
      </c>
      <c r="AD18" s="182">
        <f t="shared" si="5"/>
        <v>8101.5522000000001</v>
      </c>
      <c r="AE18" s="182">
        <f t="shared" si="6"/>
        <v>675.12935000000004</v>
      </c>
      <c r="AF18" s="182">
        <f t="shared" si="7"/>
        <v>1581.42298944</v>
      </c>
      <c r="AG18" s="182">
        <f t="shared" si="8"/>
        <v>9682.9751894399997</v>
      </c>
    </row>
    <row r="19" spans="1:33" ht="16">
      <c r="A19" s="194">
        <v>40</v>
      </c>
      <c r="B19" s="323">
        <v>461701</v>
      </c>
      <c r="C19" s="324">
        <v>462617</v>
      </c>
      <c r="D19" s="324">
        <v>463252</v>
      </c>
      <c r="E19" s="324">
        <v>464169</v>
      </c>
      <c r="F19" s="325">
        <v>464804</v>
      </c>
      <c r="G19" s="172"/>
      <c r="H19" s="173">
        <v>40</v>
      </c>
      <c r="I19" s="328">
        <v>38475.08</v>
      </c>
      <c r="J19" s="329">
        <v>38551.42</v>
      </c>
      <c r="K19" s="329">
        <v>38604.33</v>
      </c>
      <c r="L19" s="329">
        <v>38680.75</v>
      </c>
      <c r="M19" s="329">
        <v>38733.67</v>
      </c>
      <c r="N19" s="176"/>
      <c r="O19" s="173">
        <v>40</v>
      </c>
      <c r="P19" s="333">
        <v>461701</v>
      </c>
      <c r="Q19" s="334">
        <v>462617</v>
      </c>
      <c r="R19" s="334">
        <v>463252</v>
      </c>
      <c r="S19" s="334">
        <v>464169</v>
      </c>
      <c r="T19" s="335">
        <v>464804</v>
      </c>
      <c r="U19">
        <f>C37</f>
        <v>1.653378</v>
      </c>
      <c r="V19" s="189">
        <v>5200</v>
      </c>
      <c r="W19" s="182">
        <f t="shared" si="1"/>
        <v>8597.5655999999999</v>
      </c>
      <c r="X19" s="182">
        <f t="shared" si="2"/>
        <v>716.46379999999999</v>
      </c>
      <c r="Y19" s="182">
        <f t="shared" si="3"/>
        <v>1440.0922380000002</v>
      </c>
      <c r="Z19" s="182">
        <f t="shared" si="4"/>
        <v>10037.657837999999</v>
      </c>
      <c r="AA19" s="149">
        <f>C38</f>
        <v>16.75</v>
      </c>
      <c r="AB19" s="196">
        <f>C39</f>
        <v>19.52</v>
      </c>
      <c r="AC19" s="189">
        <v>5200</v>
      </c>
      <c r="AD19" s="182">
        <f t="shared" si="5"/>
        <v>8597.5655999999999</v>
      </c>
      <c r="AE19" s="182">
        <f t="shared" si="6"/>
        <v>716.46379999999999</v>
      </c>
      <c r="AF19" s="182">
        <f t="shared" si="7"/>
        <v>1678.2448051199999</v>
      </c>
      <c r="AG19" s="182">
        <f t="shared" si="8"/>
        <v>10275.810405119999</v>
      </c>
    </row>
    <row r="20" spans="1:33" ht="16">
      <c r="A20" s="168">
        <v>41</v>
      </c>
      <c r="B20" s="320">
        <v>470019</v>
      </c>
      <c r="C20" s="321">
        <v>470489</v>
      </c>
      <c r="D20" s="321">
        <v>470816</v>
      </c>
      <c r="E20" s="321">
        <v>471284</v>
      </c>
      <c r="F20" s="322">
        <v>471611</v>
      </c>
      <c r="G20" s="172"/>
      <c r="H20" s="173">
        <v>41</v>
      </c>
      <c r="I20" s="326">
        <v>39168.25</v>
      </c>
      <c r="J20" s="327">
        <v>39207.42</v>
      </c>
      <c r="K20" s="327">
        <v>39234.67</v>
      </c>
      <c r="L20" s="327">
        <v>39273.67</v>
      </c>
      <c r="M20" s="327">
        <v>39300.92</v>
      </c>
      <c r="N20" s="176"/>
      <c r="O20" s="173">
        <v>41</v>
      </c>
      <c r="P20" s="330">
        <v>470019</v>
      </c>
      <c r="Q20" s="331">
        <v>470489</v>
      </c>
      <c r="R20" s="331">
        <v>470816</v>
      </c>
      <c r="S20" s="331">
        <v>471284</v>
      </c>
      <c r="T20" s="332">
        <v>471611</v>
      </c>
      <c r="U20">
        <f>C37</f>
        <v>1.653378</v>
      </c>
      <c r="V20" s="189">
        <v>6000</v>
      </c>
      <c r="W20" s="182">
        <f t="shared" si="1"/>
        <v>9920.268</v>
      </c>
      <c r="X20" s="182">
        <f t="shared" si="2"/>
        <v>826.68899999999996</v>
      </c>
      <c r="Y20" s="182">
        <f t="shared" si="3"/>
        <v>1661.64489</v>
      </c>
      <c r="Z20" s="182">
        <f t="shared" si="4"/>
        <v>11581.91289</v>
      </c>
      <c r="AA20" s="149">
        <f>C38</f>
        <v>16.75</v>
      </c>
      <c r="AB20" s="196">
        <f>C39</f>
        <v>19.52</v>
      </c>
      <c r="AC20" s="189">
        <v>6000</v>
      </c>
      <c r="AD20" s="182">
        <f t="shared" si="5"/>
        <v>9920.268</v>
      </c>
      <c r="AE20" s="182">
        <f t="shared" si="6"/>
        <v>826.68899999999996</v>
      </c>
      <c r="AF20" s="182">
        <f t="shared" si="7"/>
        <v>1936.4363135999999</v>
      </c>
      <c r="AG20" s="182">
        <f t="shared" si="8"/>
        <v>11856.704313599999</v>
      </c>
    </row>
    <row r="21" spans="1:33" ht="16">
      <c r="A21" s="168">
        <v>42</v>
      </c>
      <c r="B21" s="320">
        <v>478517</v>
      </c>
      <c r="C21" s="321">
        <v>478517</v>
      </c>
      <c r="D21" s="321">
        <v>478517</v>
      </c>
      <c r="E21" s="321">
        <v>478517</v>
      </c>
      <c r="F21" s="322">
        <v>478517</v>
      </c>
      <c r="G21" s="172"/>
      <c r="H21" s="173">
        <v>42</v>
      </c>
      <c r="I21" s="326">
        <v>39876.42</v>
      </c>
      <c r="J21" s="327">
        <v>39876.42</v>
      </c>
      <c r="K21" s="327">
        <v>39876.42</v>
      </c>
      <c r="L21" s="327">
        <v>39876.42</v>
      </c>
      <c r="M21" s="327">
        <v>39876.42</v>
      </c>
      <c r="N21" s="176"/>
      <c r="O21" s="173">
        <v>42</v>
      </c>
      <c r="P21" s="330">
        <v>478517</v>
      </c>
      <c r="Q21" s="331">
        <v>478517</v>
      </c>
      <c r="R21" s="331">
        <v>478517</v>
      </c>
      <c r="S21" s="331">
        <v>478517</v>
      </c>
      <c r="T21" s="332">
        <v>478517</v>
      </c>
      <c r="U21">
        <f>C37</f>
        <v>1.653378</v>
      </c>
      <c r="V21" s="189">
        <v>7000</v>
      </c>
      <c r="W21" s="182">
        <f t="shared" si="1"/>
        <v>11573.646000000001</v>
      </c>
      <c r="X21" s="182">
        <f t="shared" si="2"/>
        <v>964.47050000000002</v>
      </c>
      <c r="Y21" s="182">
        <f t="shared" si="3"/>
        <v>1938.585705</v>
      </c>
      <c r="Z21" s="182">
        <f t="shared" si="4"/>
        <v>13512.231705</v>
      </c>
      <c r="AA21" s="149">
        <f>C38</f>
        <v>16.75</v>
      </c>
      <c r="AB21" s="196">
        <f>C39</f>
        <v>19.52</v>
      </c>
      <c r="AC21" s="189">
        <v>7000</v>
      </c>
      <c r="AD21" s="182">
        <f t="shared" si="5"/>
        <v>11573.646000000001</v>
      </c>
      <c r="AE21" s="182">
        <f t="shared" si="6"/>
        <v>964.47050000000002</v>
      </c>
      <c r="AF21" s="182">
        <f t="shared" si="7"/>
        <v>2259.1756992000001</v>
      </c>
      <c r="AG21" s="182">
        <f t="shared" si="8"/>
        <v>13832.821699200002</v>
      </c>
    </row>
    <row r="22" spans="1:33" ht="16">
      <c r="A22" s="168">
        <v>43</v>
      </c>
      <c r="B22" s="320">
        <v>489152</v>
      </c>
      <c r="C22" s="321">
        <v>489152</v>
      </c>
      <c r="D22" s="321">
        <v>489152</v>
      </c>
      <c r="E22" s="321">
        <v>489152</v>
      </c>
      <c r="F22" s="322">
        <v>489152</v>
      </c>
      <c r="G22" s="172"/>
      <c r="H22" s="173">
        <v>43</v>
      </c>
      <c r="I22" s="326">
        <v>40762.67</v>
      </c>
      <c r="J22" s="327">
        <v>40762.67</v>
      </c>
      <c r="K22" s="327">
        <v>40762.67</v>
      </c>
      <c r="L22" s="327">
        <v>40762.67</v>
      </c>
      <c r="M22" s="327">
        <v>40762.67</v>
      </c>
      <c r="N22" s="176"/>
      <c r="O22" s="173">
        <v>43</v>
      </c>
      <c r="P22" s="330">
        <v>489152</v>
      </c>
      <c r="Q22" s="331">
        <v>489152</v>
      </c>
      <c r="R22" s="331">
        <v>489152</v>
      </c>
      <c r="S22" s="331">
        <v>489152</v>
      </c>
      <c r="T22" s="332">
        <v>489152</v>
      </c>
      <c r="U22">
        <f>C37</f>
        <v>1.653378</v>
      </c>
      <c r="V22" s="189">
        <v>8100</v>
      </c>
      <c r="W22" s="182">
        <f t="shared" si="1"/>
        <v>13392.361800000001</v>
      </c>
      <c r="X22" s="182">
        <f t="shared" si="2"/>
        <v>1116.03015</v>
      </c>
      <c r="Y22" s="182">
        <f t="shared" si="3"/>
        <v>2243.2206015000002</v>
      </c>
      <c r="Z22" s="182">
        <f t="shared" si="4"/>
        <v>15635.5824015</v>
      </c>
      <c r="AA22" s="149">
        <f>C38</f>
        <v>16.75</v>
      </c>
      <c r="AB22" s="196">
        <f>C39</f>
        <v>19.52</v>
      </c>
      <c r="AC22" s="189">
        <v>8100</v>
      </c>
      <c r="AD22" s="182">
        <f t="shared" si="5"/>
        <v>13392.361800000001</v>
      </c>
      <c r="AE22" s="182">
        <f t="shared" si="6"/>
        <v>1116.03015</v>
      </c>
      <c r="AF22" s="182">
        <f t="shared" si="7"/>
        <v>2614.1890233600002</v>
      </c>
      <c r="AG22" s="182">
        <f t="shared" si="8"/>
        <v>16006.550823360001</v>
      </c>
    </row>
    <row r="23" spans="1:33" ht="16">
      <c r="A23" s="168">
        <v>44</v>
      </c>
      <c r="B23" s="320">
        <v>500081</v>
      </c>
      <c r="C23" s="321">
        <v>500081</v>
      </c>
      <c r="D23" s="321">
        <v>500081</v>
      </c>
      <c r="E23" s="321">
        <v>500081</v>
      </c>
      <c r="F23" s="322">
        <v>500081</v>
      </c>
      <c r="G23" s="172"/>
      <c r="H23" s="173">
        <v>44</v>
      </c>
      <c r="I23" s="326">
        <v>41673.42</v>
      </c>
      <c r="J23" s="327">
        <v>41673.42</v>
      </c>
      <c r="K23" s="327">
        <v>41673.42</v>
      </c>
      <c r="L23" s="327">
        <v>41673.42</v>
      </c>
      <c r="M23" s="327">
        <v>41673.42</v>
      </c>
      <c r="N23" s="176"/>
      <c r="O23" s="173">
        <v>44</v>
      </c>
      <c r="P23" s="330">
        <v>500081</v>
      </c>
      <c r="Q23" s="331">
        <v>500081</v>
      </c>
      <c r="R23" s="331">
        <v>500081</v>
      </c>
      <c r="S23" s="331">
        <v>500081</v>
      </c>
      <c r="T23" s="332">
        <v>500081</v>
      </c>
      <c r="U23">
        <f>C37</f>
        <v>1.653378</v>
      </c>
      <c r="V23" s="189">
        <v>9100</v>
      </c>
      <c r="W23" s="182">
        <f t="shared" si="1"/>
        <v>15045.739799999999</v>
      </c>
      <c r="X23" s="182">
        <f t="shared" si="2"/>
        <v>1253.8116499999999</v>
      </c>
      <c r="Y23" s="182">
        <f t="shared" si="3"/>
        <v>2520.1614164999996</v>
      </c>
      <c r="Z23" s="182">
        <f t="shared" si="4"/>
        <v>17565.901216499999</v>
      </c>
      <c r="AA23" s="149">
        <f>C38</f>
        <v>16.75</v>
      </c>
      <c r="AB23" s="196">
        <f>C39</f>
        <v>19.52</v>
      </c>
      <c r="AC23" s="189">
        <v>9100</v>
      </c>
      <c r="AD23" s="182">
        <f t="shared" si="5"/>
        <v>15045.739799999999</v>
      </c>
      <c r="AE23" s="182">
        <f t="shared" si="6"/>
        <v>1253.8116499999999</v>
      </c>
      <c r="AF23" s="182">
        <f t="shared" si="7"/>
        <v>2936.9284089599996</v>
      </c>
      <c r="AG23" s="182">
        <f t="shared" si="8"/>
        <v>17982.66820896</v>
      </c>
    </row>
    <row r="24" spans="1:33" ht="16">
      <c r="A24" s="194">
        <v>45</v>
      </c>
      <c r="B24" s="323">
        <v>511309</v>
      </c>
      <c r="C24" s="324">
        <v>511309</v>
      </c>
      <c r="D24" s="324">
        <v>511309</v>
      </c>
      <c r="E24" s="324">
        <v>511309</v>
      </c>
      <c r="F24" s="325">
        <v>511309</v>
      </c>
      <c r="G24" s="172"/>
      <c r="H24" s="173">
        <v>45</v>
      </c>
      <c r="I24" s="328">
        <v>42609.08</v>
      </c>
      <c r="J24" s="329">
        <v>42609.08</v>
      </c>
      <c r="K24" s="329">
        <v>42609.08</v>
      </c>
      <c r="L24" s="329">
        <v>42609.08</v>
      </c>
      <c r="M24" s="329">
        <v>42609.08</v>
      </c>
      <c r="N24" s="176"/>
      <c r="O24" s="173">
        <v>45</v>
      </c>
      <c r="P24" s="333">
        <v>511309</v>
      </c>
      <c r="Q24" s="334">
        <v>511309</v>
      </c>
      <c r="R24" s="334">
        <v>511309</v>
      </c>
      <c r="S24" s="334">
        <v>511309</v>
      </c>
      <c r="T24" s="335">
        <v>511309</v>
      </c>
      <c r="U24">
        <f>C37</f>
        <v>1.653378</v>
      </c>
      <c r="V24" s="189">
        <v>12000</v>
      </c>
      <c r="W24" s="182">
        <f t="shared" si="1"/>
        <v>19840.536</v>
      </c>
      <c r="X24" s="182">
        <f t="shared" si="2"/>
        <v>1653.3779999999999</v>
      </c>
      <c r="Y24" s="182">
        <f t="shared" si="3"/>
        <v>3323.2897800000001</v>
      </c>
      <c r="Z24" s="182">
        <f t="shared" si="4"/>
        <v>23163.825779999999</v>
      </c>
      <c r="AA24" s="149">
        <f>C38</f>
        <v>16.75</v>
      </c>
      <c r="AB24" s="196">
        <f>C39</f>
        <v>19.52</v>
      </c>
      <c r="AC24" s="189">
        <v>12000</v>
      </c>
      <c r="AD24" s="182">
        <f t="shared" si="5"/>
        <v>19840.536</v>
      </c>
      <c r="AE24" s="182">
        <f t="shared" si="6"/>
        <v>1653.3779999999999</v>
      </c>
      <c r="AF24" s="182">
        <f t="shared" si="7"/>
        <v>3872.8726271999999</v>
      </c>
      <c r="AG24" s="182">
        <f t="shared" si="8"/>
        <v>23713.408627199999</v>
      </c>
    </row>
    <row r="25" spans="1:33" ht="16">
      <c r="A25" s="168">
        <v>46</v>
      </c>
      <c r="B25" s="320">
        <v>522846</v>
      </c>
      <c r="C25" s="321">
        <v>522846</v>
      </c>
      <c r="D25" s="321">
        <v>522846</v>
      </c>
      <c r="E25" s="321">
        <v>522846</v>
      </c>
      <c r="F25" s="322">
        <v>522846</v>
      </c>
      <c r="G25" s="172"/>
      <c r="H25" s="173">
        <v>46</v>
      </c>
      <c r="I25" s="326">
        <v>43570.5</v>
      </c>
      <c r="J25" s="327">
        <v>43570.5</v>
      </c>
      <c r="K25" s="327">
        <v>43570.5</v>
      </c>
      <c r="L25" s="327">
        <v>43570.5</v>
      </c>
      <c r="M25" s="327">
        <v>43570.5</v>
      </c>
      <c r="N25" s="176"/>
      <c r="O25" s="173">
        <v>46</v>
      </c>
      <c r="P25" s="330">
        <v>522846</v>
      </c>
      <c r="Q25" s="331">
        <v>522846</v>
      </c>
      <c r="R25" s="331">
        <v>522846</v>
      </c>
      <c r="S25" s="331">
        <v>522846</v>
      </c>
      <c r="T25" s="332">
        <v>522846</v>
      </c>
      <c r="U25">
        <f>C37</f>
        <v>1.653378</v>
      </c>
      <c r="V25" s="189">
        <v>20300</v>
      </c>
      <c r="W25" s="182">
        <f t="shared" si="1"/>
        <v>33563.573400000001</v>
      </c>
      <c r="X25" s="182">
        <f t="shared" si="2"/>
        <v>2796.9644499999999</v>
      </c>
      <c r="Y25" s="182">
        <f t="shared" si="3"/>
        <v>5621.8985444999998</v>
      </c>
      <c r="Z25" s="182">
        <f t="shared" si="4"/>
        <v>39185.471944500001</v>
      </c>
      <c r="AA25" s="149">
        <f>C38</f>
        <v>16.75</v>
      </c>
      <c r="AB25" s="196">
        <f>C39</f>
        <v>19.52</v>
      </c>
      <c r="AC25" s="189">
        <v>20300</v>
      </c>
      <c r="AD25" s="182">
        <f t="shared" si="5"/>
        <v>33563.573400000001</v>
      </c>
      <c r="AE25" s="182">
        <f t="shared" si="6"/>
        <v>2796.9644499999999</v>
      </c>
      <c r="AF25" s="182">
        <f t="shared" si="7"/>
        <v>6551.6095276799997</v>
      </c>
      <c r="AG25" s="182">
        <f t="shared" si="8"/>
        <v>40115.182927679998</v>
      </c>
    </row>
    <row r="26" spans="1:33" ht="16">
      <c r="A26" s="168">
        <v>47</v>
      </c>
      <c r="B26" s="320">
        <v>532153</v>
      </c>
      <c r="C26" s="321">
        <v>532153</v>
      </c>
      <c r="D26" s="321">
        <v>532153</v>
      </c>
      <c r="E26" s="321">
        <v>532153</v>
      </c>
      <c r="F26" s="322">
        <v>532153</v>
      </c>
      <c r="G26" s="172"/>
      <c r="H26" s="173">
        <v>47</v>
      </c>
      <c r="I26" s="326">
        <v>44346.080000000002</v>
      </c>
      <c r="J26" s="327">
        <v>44346.080000000002</v>
      </c>
      <c r="K26" s="327">
        <v>44346.080000000002</v>
      </c>
      <c r="L26" s="327">
        <v>44346.080000000002</v>
      </c>
      <c r="M26" s="327">
        <v>44346.080000000002</v>
      </c>
      <c r="N26" s="176"/>
      <c r="O26" s="173">
        <v>47</v>
      </c>
      <c r="P26" s="330">
        <v>532153</v>
      </c>
      <c r="Q26" s="331">
        <v>532153</v>
      </c>
      <c r="R26" s="331">
        <v>532153</v>
      </c>
      <c r="S26" s="331">
        <v>532153</v>
      </c>
      <c r="T26" s="332">
        <v>532153</v>
      </c>
      <c r="U26">
        <f>C37</f>
        <v>1.653378</v>
      </c>
      <c r="V26" s="189">
        <v>30600</v>
      </c>
      <c r="W26" s="182">
        <f t="shared" si="1"/>
        <v>50593.366800000003</v>
      </c>
      <c r="X26" s="182">
        <f t="shared" si="2"/>
        <v>4216.1139000000003</v>
      </c>
      <c r="Y26" s="182">
        <f t="shared" si="3"/>
        <v>8474.3889390000004</v>
      </c>
      <c r="Z26" s="182">
        <f t="shared" si="4"/>
        <v>59067.755739</v>
      </c>
      <c r="AA26" s="149">
        <f>C38</f>
        <v>16.75</v>
      </c>
      <c r="AB26" s="196">
        <f>C39</f>
        <v>19.52</v>
      </c>
      <c r="AC26" s="189">
        <v>30600</v>
      </c>
      <c r="AD26" s="182">
        <f t="shared" si="5"/>
        <v>50593.366800000003</v>
      </c>
      <c r="AE26" s="182">
        <f t="shared" si="6"/>
        <v>4216.1139000000003</v>
      </c>
      <c r="AF26" s="182">
        <f t="shared" si="7"/>
        <v>9875.8251993600006</v>
      </c>
      <c r="AG26" s="182">
        <f t="shared" si="8"/>
        <v>60469.191999360002</v>
      </c>
    </row>
    <row r="27" spans="1:33" ht="17" thickBot="1">
      <c r="A27" s="168">
        <v>48</v>
      </c>
      <c r="B27" s="320">
        <v>556615</v>
      </c>
      <c r="C27" s="321">
        <v>556615</v>
      </c>
      <c r="D27" s="321">
        <v>556615</v>
      </c>
      <c r="E27" s="321">
        <v>556615</v>
      </c>
      <c r="F27" s="322">
        <v>556615</v>
      </c>
      <c r="G27" s="172"/>
      <c r="H27" s="173">
        <v>48</v>
      </c>
      <c r="I27" s="326">
        <v>46384.58</v>
      </c>
      <c r="J27" s="327">
        <v>46384.58</v>
      </c>
      <c r="K27" s="327">
        <v>46384.58</v>
      </c>
      <c r="L27" s="327">
        <v>46384.58</v>
      </c>
      <c r="M27" s="327">
        <v>46384.58</v>
      </c>
      <c r="N27" s="176"/>
      <c r="O27" s="173">
        <v>48</v>
      </c>
      <c r="P27" s="330">
        <v>556615</v>
      </c>
      <c r="Q27" s="331">
        <v>556615</v>
      </c>
      <c r="R27" s="331">
        <v>556615</v>
      </c>
      <c r="S27" s="331">
        <v>556615</v>
      </c>
      <c r="T27" s="332">
        <v>556615</v>
      </c>
      <c r="U27">
        <f>C37</f>
        <v>1.653378</v>
      </c>
      <c r="V27" s="197">
        <v>41000</v>
      </c>
      <c r="W27" s="182">
        <f t="shared" si="1"/>
        <v>67788.498000000007</v>
      </c>
      <c r="X27" s="182">
        <f t="shared" si="2"/>
        <v>5649.0415000000003</v>
      </c>
      <c r="Y27" s="182">
        <f t="shared" si="3"/>
        <v>11354.573415000001</v>
      </c>
      <c r="Z27" s="182">
        <f t="shared" si="4"/>
        <v>79143.071415000013</v>
      </c>
      <c r="AA27" s="149">
        <f>C38</f>
        <v>16.75</v>
      </c>
      <c r="AB27" s="149">
        <f>C39</f>
        <v>19.52</v>
      </c>
      <c r="AC27" s="197">
        <v>41000</v>
      </c>
      <c r="AD27" s="182">
        <f t="shared" si="5"/>
        <v>67788.498000000007</v>
      </c>
      <c r="AE27" s="182">
        <f t="shared" si="6"/>
        <v>5649.0415000000003</v>
      </c>
      <c r="AF27" s="182">
        <f t="shared" si="7"/>
        <v>13232.3148096</v>
      </c>
      <c r="AG27" s="182">
        <f>AD27+AF27</f>
        <v>81020.8128096</v>
      </c>
    </row>
    <row r="28" spans="1:33" ht="16">
      <c r="A28" s="168">
        <v>49</v>
      </c>
      <c r="B28" s="320">
        <v>593969</v>
      </c>
      <c r="C28" s="321">
        <v>593969</v>
      </c>
      <c r="D28" s="321">
        <v>593969</v>
      </c>
      <c r="E28" s="321">
        <v>593969</v>
      </c>
      <c r="F28" s="322">
        <v>593969</v>
      </c>
      <c r="G28" s="172"/>
      <c r="H28" s="173">
        <v>49</v>
      </c>
      <c r="I28" s="326">
        <v>49497.42</v>
      </c>
      <c r="J28" s="327">
        <v>49497.42</v>
      </c>
      <c r="K28" s="327">
        <v>49497.42</v>
      </c>
      <c r="L28" s="327">
        <v>49497.42</v>
      </c>
      <c r="M28" s="327">
        <v>49497.42</v>
      </c>
      <c r="N28" s="176"/>
      <c r="O28" s="173">
        <v>49</v>
      </c>
      <c r="P28" s="330">
        <v>593969</v>
      </c>
      <c r="Q28" s="331">
        <v>593969</v>
      </c>
      <c r="R28" s="331">
        <v>593969</v>
      </c>
      <c r="S28" s="331">
        <v>593969</v>
      </c>
      <c r="T28" s="332">
        <v>593969</v>
      </c>
      <c r="AG28" s="183"/>
    </row>
    <row r="29" spans="1:33" ht="16">
      <c r="A29" s="194">
        <v>50</v>
      </c>
      <c r="B29" s="323">
        <v>635433</v>
      </c>
      <c r="C29" s="324">
        <v>635433</v>
      </c>
      <c r="D29" s="324">
        <v>635433</v>
      </c>
      <c r="E29" s="324">
        <v>635433</v>
      </c>
      <c r="F29" s="325">
        <v>635433</v>
      </c>
      <c r="G29" s="172"/>
      <c r="H29" s="173">
        <v>50</v>
      </c>
      <c r="I29" s="328">
        <v>52952.75</v>
      </c>
      <c r="J29" s="329">
        <v>52952.75</v>
      </c>
      <c r="K29" s="329">
        <v>52952.75</v>
      </c>
      <c r="L29" s="329">
        <v>52952.75</v>
      </c>
      <c r="M29" s="329">
        <v>52952.75</v>
      </c>
      <c r="N29" s="176"/>
      <c r="O29" s="173">
        <v>50</v>
      </c>
      <c r="P29" s="333">
        <v>650421</v>
      </c>
      <c r="Q29" s="334">
        <v>650421</v>
      </c>
      <c r="R29" s="334">
        <v>650421</v>
      </c>
      <c r="S29" s="334">
        <v>650421</v>
      </c>
      <c r="T29" s="335">
        <v>650421</v>
      </c>
      <c r="AG29" s="183"/>
    </row>
    <row r="30" spans="1:33" ht="16">
      <c r="A30" s="168">
        <v>51</v>
      </c>
      <c r="B30" s="320">
        <v>701882</v>
      </c>
      <c r="C30" s="321">
        <v>701882</v>
      </c>
      <c r="D30" s="321">
        <v>701882</v>
      </c>
      <c r="E30" s="321">
        <v>701882</v>
      </c>
      <c r="F30" s="322">
        <v>701882</v>
      </c>
      <c r="G30" s="172"/>
      <c r="H30" s="173">
        <v>51</v>
      </c>
      <c r="I30" s="326">
        <v>58490.17</v>
      </c>
      <c r="J30" s="327">
        <v>58490.17</v>
      </c>
      <c r="K30" s="327">
        <v>58490.17</v>
      </c>
      <c r="L30" s="327">
        <v>58490.17</v>
      </c>
      <c r="M30" s="327">
        <v>58490.17</v>
      </c>
      <c r="N30" s="176"/>
      <c r="O30" s="173">
        <v>51</v>
      </c>
      <c r="P30" s="330">
        <v>720775</v>
      </c>
      <c r="Q30" s="331">
        <v>720775</v>
      </c>
      <c r="R30" s="331">
        <v>720775</v>
      </c>
      <c r="S30" s="331">
        <v>720775</v>
      </c>
      <c r="T30" s="332">
        <v>720775</v>
      </c>
      <c r="AG30" s="183"/>
    </row>
    <row r="31" spans="1:33" ht="16">
      <c r="A31" s="168">
        <v>52</v>
      </c>
      <c r="B31" s="320">
        <v>798654</v>
      </c>
      <c r="C31" s="321">
        <v>798654</v>
      </c>
      <c r="D31" s="321">
        <v>798654</v>
      </c>
      <c r="E31" s="321">
        <v>798654</v>
      </c>
      <c r="F31" s="322">
        <v>798654</v>
      </c>
      <c r="G31" s="172"/>
      <c r="H31" s="173">
        <v>52</v>
      </c>
      <c r="I31" s="326">
        <v>66554.5</v>
      </c>
      <c r="J31" s="327">
        <v>66554.5</v>
      </c>
      <c r="K31" s="327">
        <v>66554.5</v>
      </c>
      <c r="L31" s="327">
        <v>66554.5</v>
      </c>
      <c r="M31" s="327">
        <v>66554.5</v>
      </c>
      <c r="N31" s="176"/>
      <c r="O31" s="173">
        <v>52</v>
      </c>
      <c r="P31" s="330">
        <v>820887</v>
      </c>
      <c r="Q31" s="331">
        <v>820887</v>
      </c>
      <c r="R31" s="331">
        <v>820887</v>
      </c>
      <c r="S31" s="331">
        <v>820887</v>
      </c>
      <c r="T31" s="332">
        <v>820887</v>
      </c>
      <c r="AG31" s="183"/>
    </row>
    <row r="32" spans="1:33" ht="16">
      <c r="A32" s="168">
        <v>53</v>
      </c>
      <c r="B32" s="320">
        <v>876892</v>
      </c>
      <c r="C32" s="321">
        <v>876892</v>
      </c>
      <c r="D32" s="321">
        <v>876892</v>
      </c>
      <c r="E32" s="321">
        <v>876892</v>
      </c>
      <c r="F32" s="322">
        <v>876892</v>
      </c>
      <c r="G32" s="172"/>
      <c r="H32" s="173">
        <v>53</v>
      </c>
      <c r="I32" s="326">
        <v>73074.33</v>
      </c>
      <c r="J32" s="327">
        <v>73074.33</v>
      </c>
      <c r="K32" s="327">
        <v>73074.33</v>
      </c>
      <c r="L32" s="327">
        <v>73074.33</v>
      </c>
      <c r="M32" s="327">
        <v>73074.33</v>
      </c>
      <c r="N32" s="176"/>
      <c r="O32" s="173">
        <v>53</v>
      </c>
      <c r="P32" s="330">
        <v>913784</v>
      </c>
      <c r="Q32" s="331">
        <v>913784</v>
      </c>
      <c r="R32" s="331">
        <v>913784</v>
      </c>
      <c r="S32" s="331">
        <v>913784</v>
      </c>
      <c r="T32" s="332">
        <v>913784</v>
      </c>
      <c r="AG32" s="183"/>
    </row>
    <row r="33" spans="1:33" ht="16">
      <c r="A33" s="168">
        <v>54</v>
      </c>
      <c r="B33" s="320">
        <v>981196</v>
      </c>
      <c r="C33" s="321">
        <v>981196</v>
      </c>
      <c r="D33" s="321">
        <v>981196</v>
      </c>
      <c r="E33" s="321">
        <v>981196</v>
      </c>
      <c r="F33" s="322">
        <v>981196</v>
      </c>
      <c r="G33" s="172"/>
      <c r="H33" s="173">
        <v>54</v>
      </c>
      <c r="I33" s="326">
        <v>81766.33</v>
      </c>
      <c r="J33" s="327">
        <v>81766.33</v>
      </c>
      <c r="K33" s="327">
        <v>81766.33</v>
      </c>
      <c r="L33" s="327">
        <v>81766.33</v>
      </c>
      <c r="M33" s="327">
        <v>81766.33</v>
      </c>
      <c r="N33" s="176"/>
      <c r="O33" s="173">
        <v>54</v>
      </c>
      <c r="P33" s="330">
        <v>1029565</v>
      </c>
      <c r="Q33" s="331">
        <v>1029565</v>
      </c>
      <c r="R33" s="331">
        <v>1029565</v>
      </c>
      <c r="S33" s="331">
        <v>1029565</v>
      </c>
      <c r="T33" s="332">
        <v>1029565</v>
      </c>
      <c r="AG33" s="183"/>
    </row>
    <row r="34" spans="1:33" ht="16">
      <c r="A34" s="194">
        <v>55</v>
      </c>
      <c r="B34" s="323">
        <v>1106570</v>
      </c>
      <c r="C34" s="324">
        <v>1106570</v>
      </c>
      <c r="D34" s="324">
        <v>1106570</v>
      </c>
      <c r="E34" s="324">
        <v>1106570</v>
      </c>
      <c r="F34" s="325">
        <v>1106570</v>
      </c>
      <c r="G34" s="172"/>
      <c r="H34" s="173">
        <v>55</v>
      </c>
      <c r="I34" s="328">
        <v>92214.17</v>
      </c>
      <c r="J34" s="329">
        <v>92214.17</v>
      </c>
      <c r="K34" s="329">
        <v>92214.17</v>
      </c>
      <c r="L34" s="329">
        <v>92214.17</v>
      </c>
      <c r="M34" s="329">
        <v>92214.17</v>
      </c>
      <c r="N34" s="176"/>
      <c r="O34" s="173">
        <v>55</v>
      </c>
      <c r="P34" s="333">
        <v>1154939</v>
      </c>
      <c r="Q34" s="334">
        <v>1154939</v>
      </c>
      <c r="R34" s="334">
        <v>1154939</v>
      </c>
      <c r="S34" s="334">
        <v>1154939</v>
      </c>
      <c r="T34" s="335">
        <v>1154939</v>
      </c>
      <c r="AG34" s="183"/>
    </row>
    <row r="35" spans="1:33" ht="16">
      <c r="A35" s="198" t="s">
        <v>13</v>
      </c>
      <c r="B35" s="323">
        <v>1247158</v>
      </c>
      <c r="C35" s="324">
        <v>1247158</v>
      </c>
      <c r="D35" s="324">
        <v>1247158</v>
      </c>
      <c r="E35" s="324">
        <v>1247158</v>
      </c>
      <c r="F35" s="325">
        <v>1247158</v>
      </c>
      <c r="G35" s="172"/>
      <c r="H35" s="199" t="s">
        <v>13</v>
      </c>
      <c r="I35" s="328">
        <v>103929.83</v>
      </c>
      <c r="J35" s="329">
        <v>103929.83</v>
      </c>
      <c r="K35" s="329">
        <v>103929.83</v>
      </c>
      <c r="L35" s="329">
        <v>103929.83</v>
      </c>
      <c r="M35" s="329">
        <v>103929.83</v>
      </c>
      <c r="N35" s="176"/>
      <c r="O35" s="200" t="s">
        <v>13</v>
      </c>
      <c r="P35" s="333">
        <v>1295531</v>
      </c>
      <c r="Q35" s="334">
        <v>1295531</v>
      </c>
      <c r="R35" s="334">
        <v>1295531</v>
      </c>
      <c r="S35" s="334">
        <v>1295531</v>
      </c>
      <c r="T35" s="335">
        <v>1295531</v>
      </c>
      <c r="AG35" s="183"/>
    </row>
    <row r="36" spans="1:33">
      <c r="A36" s="149"/>
      <c r="B36" s="149"/>
      <c r="C36" s="149"/>
      <c r="D36" s="149"/>
      <c r="E36" s="149"/>
      <c r="F36" s="149"/>
      <c r="G36" s="149"/>
      <c r="H36" s="149"/>
      <c r="I36" s="149"/>
      <c r="J36" s="149"/>
      <c r="K36" s="149"/>
      <c r="L36" s="149"/>
      <c r="M36" s="149"/>
      <c r="N36" s="149"/>
      <c r="O36" s="149"/>
      <c r="P36" s="149"/>
      <c r="Q36" s="149"/>
      <c r="R36" s="149"/>
    </row>
    <row r="37" spans="1:33">
      <c r="A37" s="149"/>
      <c r="B37" s="201" t="s">
        <v>14</v>
      </c>
      <c r="C37" s="202">
        <v>1.653378</v>
      </c>
      <c r="D37" s="149"/>
      <c r="E37" s="617" t="s">
        <v>242</v>
      </c>
      <c r="F37" s="617"/>
      <c r="G37" s="202">
        <v>54</v>
      </c>
      <c r="H37" s="149"/>
      <c r="I37" s="149"/>
      <c r="J37" s="149"/>
      <c r="K37" s="149"/>
      <c r="L37" s="149"/>
      <c r="M37" s="149"/>
      <c r="N37" s="149"/>
      <c r="O37" s="149"/>
      <c r="P37" s="149"/>
      <c r="Q37" s="149"/>
      <c r="R37" s="149"/>
    </row>
    <row r="38" spans="1:33">
      <c r="A38" s="149"/>
      <c r="B38" s="201" t="s">
        <v>15</v>
      </c>
      <c r="C38" s="201">
        <v>16.75</v>
      </c>
      <c r="D38" s="149"/>
      <c r="E38" s="618" t="s">
        <v>243</v>
      </c>
      <c r="F38" s="618"/>
      <c r="G38" s="201">
        <v>5.82</v>
      </c>
      <c r="H38" s="149"/>
      <c r="I38" s="149"/>
      <c r="J38" s="149"/>
      <c r="K38" s="149"/>
      <c r="L38" s="149"/>
      <c r="M38" s="149"/>
      <c r="N38" s="149"/>
      <c r="O38" s="149"/>
      <c r="P38" s="149"/>
      <c r="Q38" s="149"/>
      <c r="R38" s="149"/>
    </row>
    <row r="39" spans="1:33">
      <c r="A39" s="149"/>
      <c r="B39" s="201" t="s">
        <v>16</v>
      </c>
      <c r="C39" s="201">
        <v>19.52</v>
      </c>
      <c r="D39" s="149"/>
      <c r="E39" s="617" t="s">
        <v>244</v>
      </c>
      <c r="F39" s="617"/>
      <c r="G39" s="201">
        <v>127.33</v>
      </c>
      <c r="H39" s="149"/>
      <c r="I39" s="149"/>
      <c r="J39" s="149"/>
      <c r="K39" s="149"/>
      <c r="L39" s="149"/>
      <c r="M39" s="149"/>
      <c r="N39" s="149"/>
      <c r="O39" s="149"/>
      <c r="P39" s="149"/>
      <c r="Q39" s="149"/>
      <c r="R39" s="149"/>
    </row>
    <row r="40" spans="1:33">
      <c r="A40" s="149"/>
      <c r="B40" s="201" t="s">
        <v>166</v>
      </c>
      <c r="C40" s="201">
        <v>2.2799999999999998</v>
      </c>
      <c r="D40" s="149"/>
      <c r="E40" s="201" t="s">
        <v>245</v>
      </c>
      <c r="F40" s="201"/>
      <c r="G40" s="202">
        <v>289.62</v>
      </c>
      <c r="H40" s="149"/>
      <c r="I40" s="149"/>
      <c r="J40" s="149"/>
      <c r="K40" s="149"/>
      <c r="L40" s="149"/>
      <c r="M40" s="149"/>
      <c r="N40" s="149"/>
      <c r="O40" s="149"/>
      <c r="P40" s="149"/>
      <c r="Q40" s="149"/>
      <c r="R40" s="149"/>
    </row>
    <row r="41" spans="1:33">
      <c r="A41" s="149"/>
      <c r="B41" s="201" t="s">
        <v>167</v>
      </c>
      <c r="C41" s="201">
        <v>3.94</v>
      </c>
      <c r="D41" s="149"/>
      <c r="E41" s="201"/>
      <c r="F41" s="201"/>
      <c r="G41" s="201"/>
      <c r="H41" s="149"/>
      <c r="I41" s="149"/>
      <c r="J41" s="149"/>
      <c r="K41" s="149"/>
      <c r="L41" s="149"/>
      <c r="M41" s="149"/>
      <c r="N41" s="149"/>
      <c r="O41" s="149"/>
      <c r="P41" s="149"/>
      <c r="Q41" s="149"/>
      <c r="R41" s="149"/>
    </row>
    <row r="42" spans="1:33">
      <c r="A42" s="149"/>
      <c r="B42" s="201" t="s">
        <v>157</v>
      </c>
      <c r="C42" s="201">
        <v>41000</v>
      </c>
      <c r="D42" s="149"/>
      <c r="E42" s="201"/>
      <c r="F42" s="201"/>
      <c r="G42" s="201"/>
      <c r="H42" s="149"/>
      <c r="I42" s="149"/>
      <c r="J42" s="149"/>
      <c r="K42" s="149"/>
      <c r="L42" s="149"/>
      <c r="M42" s="149"/>
      <c r="N42" s="149"/>
      <c r="O42" s="149"/>
      <c r="P42" s="149"/>
      <c r="Q42" s="149"/>
      <c r="R42" s="149"/>
    </row>
    <row r="43" spans="1:33">
      <c r="A43" s="613" t="s">
        <v>160</v>
      </c>
      <c r="B43" s="613"/>
    </row>
    <row r="44" spans="1:33">
      <c r="A44" t="s">
        <v>153</v>
      </c>
      <c r="B44">
        <v>1500</v>
      </c>
    </row>
    <row r="45" spans="1:33">
      <c r="A45" t="s">
        <v>133</v>
      </c>
      <c r="B45" s="203">
        <f>Musikskolelærere!C4</f>
        <v>0</v>
      </c>
      <c r="G45">
        <v>37656.75</v>
      </c>
    </row>
    <row r="46" spans="1:33">
      <c r="A46" t="s">
        <v>147</v>
      </c>
      <c r="B46" t="e">
        <f>VLOOKUP(Musikskolelærere!C4,'Skoler, stedtillæg'!A1:B98,2,FALSE)</f>
        <v>#N/A</v>
      </c>
      <c r="G46">
        <v>7777.08</v>
      </c>
    </row>
    <row r="47" spans="1:33">
      <c r="A47" t="s">
        <v>148</v>
      </c>
      <c r="B47">
        <f>Musikskolelærere!C6</f>
        <v>0</v>
      </c>
      <c r="G47">
        <v>2415.08</v>
      </c>
    </row>
    <row r="48" spans="1:33">
      <c r="G48">
        <f>SUM(G45:G47)</f>
        <v>47848.91</v>
      </c>
    </row>
    <row r="49" spans="1:2">
      <c r="A49" t="s">
        <v>158</v>
      </c>
      <c r="B49" s="204" t="e" cm="1">
        <f t="array" ref="B49">_xlfn.XLOOKUP(B46,B6:F6,_xlfn.XLOOKUP(B47,A7:A35,B7:F35))</f>
        <v>#N/A</v>
      </c>
    </row>
    <row r="50" spans="1:2">
      <c r="A50" t="s">
        <v>164</v>
      </c>
      <c r="B50" s="204" t="e" cm="1">
        <f t="array" ref="B50">_xlfn.XLOOKUP(B46,P6:T6,_xlfn.XLOOKUP(B47,O7:O35,P7:T35))</f>
        <v>#N/A</v>
      </c>
    </row>
    <row r="52" spans="1:2">
      <c r="A52" s="613" t="s">
        <v>161</v>
      </c>
      <c r="B52" s="613"/>
    </row>
    <row r="53" spans="1:2">
      <c r="A53" t="s">
        <v>133</v>
      </c>
      <c r="B53" s="203">
        <f>Musikskoleledere_mellemledere!C4</f>
        <v>0</v>
      </c>
    </row>
    <row r="54" spans="1:2">
      <c r="A54" t="s">
        <v>162</v>
      </c>
      <c r="B54" s="203" t="e">
        <f>VLOOKUP(Musikskoleledere_mellemledere!C4,'Skoler, stedtillæg'!A1:B98,2,FALSE)</f>
        <v>#N/A</v>
      </c>
    </row>
    <row r="55" spans="1:2">
      <c r="A55" t="s">
        <v>148</v>
      </c>
      <c r="B55" s="203">
        <f>Musikskoleledere_mellemledere!C6</f>
        <v>0</v>
      </c>
    </row>
    <row r="56" spans="1:2">
      <c r="A56" t="s">
        <v>153</v>
      </c>
      <c r="B56" s="203">
        <v>3600</v>
      </c>
    </row>
    <row r="57" spans="1:2">
      <c r="B57" s="203"/>
    </row>
    <row r="58" spans="1:2">
      <c r="B58" s="203"/>
    </row>
    <row r="59" spans="1:2">
      <c r="A59" t="s">
        <v>159</v>
      </c>
      <c r="B59" s="203" t="e" cm="1">
        <f t="array" ref="B59">_xlfn.XLOOKUP(B54,B6:F6,_xlfn.XLOOKUP(B55,A7:A35,B7:F35))</f>
        <v>#N/A</v>
      </c>
    </row>
    <row r="60" spans="1:2">
      <c r="A60" t="s">
        <v>165</v>
      </c>
      <c r="B60" t="e" cm="1">
        <f t="array" ref="B60">_xlfn.XLOOKUP(B54,P6:T6,_xlfn.XLOOKUP(B55,O7:O35,P7:T35))</f>
        <v>#N/A</v>
      </c>
    </row>
    <row r="62" spans="1:2">
      <c r="B62" t="s">
        <v>151</v>
      </c>
    </row>
    <row r="63" spans="1:2">
      <c r="B63" t="s">
        <v>152</v>
      </c>
    </row>
    <row r="66" spans="1:2">
      <c r="A66" t="s">
        <v>323</v>
      </c>
      <c r="B66" s="202">
        <v>2025</v>
      </c>
    </row>
    <row r="1048576" spans="27:28">
      <c r="AA1048576" s="149"/>
      <c r="AB1048576" s="201"/>
    </row>
  </sheetData>
  <mergeCells count="13">
    <mergeCell ref="A2:C2"/>
    <mergeCell ref="I4:M4"/>
    <mergeCell ref="I5:M5"/>
    <mergeCell ref="B4:F4"/>
    <mergeCell ref="B5:F5"/>
    <mergeCell ref="AC4:AE4"/>
    <mergeCell ref="A43:B43"/>
    <mergeCell ref="A52:B52"/>
    <mergeCell ref="P4:T4"/>
    <mergeCell ref="P5:T5"/>
    <mergeCell ref="E37:F37"/>
    <mergeCell ref="E39:F39"/>
    <mergeCell ref="E38:F38"/>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2EA12-A063-3E42-8CFD-F64B9A8B4C06}">
  <dimension ref="A2:G25"/>
  <sheetViews>
    <sheetView workbookViewId="0">
      <selection activeCell="F35" sqref="F35"/>
    </sheetView>
  </sheetViews>
  <sheetFormatPr baseColWidth="10" defaultColWidth="8.83203125" defaultRowHeight="15"/>
  <cols>
    <col min="1" max="1" width="45.33203125" customWidth="1"/>
    <col min="2" max="2" width="14" bestFit="1" customWidth="1"/>
    <col min="3" max="3" width="14.1640625" bestFit="1" customWidth="1"/>
    <col min="4" max="4" width="20.83203125" bestFit="1" customWidth="1"/>
    <col min="5" max="5" width="15.1640625" bestFit="1" customWidth="1"/>
    <col min="6" max="6" width="14.1640625" bestFit="1" customWidth="1"/>
    <col min="7" max="7" width="13.1640625" bestFit="1" customWidth="1"/>
  </cols>
  <sheetData>
    <row r="2" spans="1:7" ht="16" thickBot="1"/>
    <row r="3" spans="1:7" ht="16" thickBot="1">
      <c r="A3" s="118" t="s">
        <v>281</v>
      </c>
      <c r="B3" s="118" t="s">
        <v>282</v>
      </c>
      <c r="C3" s="118" t="s">
        <v>283</v>
      </c>
      <c r="D3" s="119" t="s">
        <v>284</v>
      </c>
      <c r="E3" s="119" t="s">
        <v>285</v>
      </c>
      <c r="F3" s="119" t="s">
        <v>286</v>
      </c>
      <c r="G3" s="119" t="s">
        <v>4</v>
      </c>
    </row>
    <row r="4" spans="1:7" ht="16" thickBot="1">
      <c r="A4" s="120" t="s">
        <v>287</v>
      </c>
      <c r="B4" s="121">
        <v>28</v>
      </c>
      <c r="C4" s="122"/>
      <c r="D4" s="123"/>
      <c r="E4" s="123"/>
      <c r="F4" s="123"/>
      <c r="G4" s="123"/>
    </row>
    <row r="5" spans="1:7" ht="16" thickBot="1">
      <c r="A5" s="120" t="s">
        <v>288</v>
      </c>
      <c r="B5" s="121">
        <v>6</v>
      </c>
      <c r="C5" s="123"/>
      <c r="D5" s="123"/>
      <c r="E5" s="123"/>
      <c r="F5" s="123"/>
      <c r="G5" s="123"/>
    </row>
    <row r="6" spans="1:7" ht="16" thickBot="1">
      <c r="A6" s="120" t="s">
        <v>289</v>
      </c>
      <c r="B6" s="121">
        <v>4</v>
      </c>
      <c r="C6" s="123"/>
      <c r="D6" s="123"/>
      <c r="E6" s="123"/>
      <c r="F6" s="123"/>
      <c r="G6" s="123"/>
    </row>
    <row r="7" spans="1:7" ht="16" thickBot="1">
      <c r="A7" s="120" t="s">
        <v>290</v>
      </c>
      <c r="B7" s="124"/>
      <c r="C7" s="123"/>
      <c r="D7" s="125">
        <v>1500</v>
      </c>
      <c r="E7" s="125">
        <f>D7*'Aktuelle data'!C37*30/37</f>
        <v>2010.865135135135</v>
      </c>
      <c r="F7" s="123"/>
      <c r="G7" s="123"/>
    </row>
    <row r="8" spans="1:7" ht="16" thickBot="1">
      <c r="A8" s="120" t="s">
        <v>291</v>
      </c>
      <c r="B8" s="124"/>
      <c r="C8" s="123"/>
      <c r="D8" s="125">
        <v>10000</v>
      </c>
      <c r="E8" s="125">
        <f>D8*'Aktuelle data'!C37*30/37</f>
        <v>13405.767567567567</v>
      </c>
      <c r="F8" s="123"/>
      <c r="G8" s="123"/>
    </row>
    <row r="9" spans="1:7" ht="16" thickBot="1">
      <c r="A9" s="120" t="s">
        <v>292</v>
      </c>
      <c r="B9" s="126">
        <f>SUM(B4:B8)</f>
        <v>38</v>
      </c>
      <c r="C9" s="127">
        <f>'Aktuelle data'!F17*30/37</f>
        <v>366072.97297297296</v>
      </c>
      <c r="D9" s="125">
        <f>SUM(D7:D8)</f>
        <v>11500</v>
      </c>
      <c r="E9" s="128">
        <f>SUM(E7:E8)</f>
        <v>15416.632702702702</v>
      </c>
      <c r="F9" s="129">
        <f>C9+E9</f>
        <v>381489.60567567567</v>
      </c>
      <c r="G9" s="128">
        <f>F9/12</f>
        <v>31790.800472972973</v>
      </c>
    </row>
    <row r="11" spans="1:7" ht="16" thickBot="1"/>
    <row r="12" spans="1:7" ht="16" thickBot="1">
      <c r="A12" s="119" t="s">
        <v>293</v>
      </c>
      <c r="B12" s="130"/>
      <c r="C12" s="130" t="s">
        <v>294</v>
      </c>
      <c r="D12" s="130" t="s">
        <v>295</v>
      </c>
      <c r="E12" s="130" t="s">
        <v>296</v>
      </c>
    </row>
    <row r="13" spans="1:7" ht="16" thickBot="1">
      <c r="A13" s="131" t="s">
        <v>137</v>
      </c>
      <c r="B13" s="132">
        <f>'Aktuelle data'!T17*30/37</f>
        <v>366072.97297297296</v>
      </c>
      <c r="C13" s="133"/>
      <c r="D13" s="133"/>
      <c r="E13" s="133"/>
    </row>
    <row r="14" spans="1:7" ht="16" thickBot="1">
      <c r="A14" s="131" t="s">
        <v>297</v>
      </c>
      <c r="B14" s="132">
        <f>E9</f>
        <v>15416.632702702702</v>
      </c>
      <c r="C14" s="133"/>
      <c r="D14" s="133"/>
      <c r="E14" s="133"/>
    </row>
    <row r="15" spans="1:7" ht="16" thickBot="1">
      <c r="A15" s="131" t="s">
        <v>298</v>
      </c>
      <c r="B15" s="132">
        <f>SUM(B13:B14)</f>
        <v>381489.60567567567</v>
      </c>
      <c r="C15" s="144">
        <f>'Aktuelle data'!C38</f>
        <v>16.75</v>
      </c>
      <c r="D15" s="134">
        <f>B15*C15/100</f>
        <v>63899.508950675678</v>
      </c>
      <c r="E15" s="135">
        <f>D15/12</f>
        <v>5324.9590792229728</v>
      </c>
    </row>
    <row r="17" spans="1:2" ht="16" thickBot="1"/>
    <row r="18" spans="1:2" ht="16" thickBot="1">
      <c r="A18" s="622" t="s">
        <v>299</v>
      </c>
      <c r="B18" s="623"/>
    </row>
    <row r="19" spans="1:2" ht="16" thickBot="1">
      <c r="A19" s="131" t="s">
        <v>266</v>
      </c>
      <c r="B19" s="136">
        <f>F9</f>
        <v>381489.60567567567</v>
      </c>
    </row>
    <row r="20" spans="1:2" ht="16" thickBot="1">
      <c r="A20" s="131" t="s">
        <v>183</v>
      </c>
      <c r="B20" s="136">
        <f>'Aktuelle data'!AL5*12</f>
        <v>1188</v>
      </c>
    </row>
    <row r="21" spans="1:2" ht="33" thickBot="1">
      <c r="A21" s="137" t="s">
        <v>300</v>
      </c>
      <c r="B21" s="138">
        <f>(B19+B20)*2.48/100</f>
        <v>9490.4046207567571</v>
      </c>
    </row>
    <row r="23" spans="1:2" ht="16" thickBot="1"/>
    <row r="24" spans="1:2" ht="16" thickBot="1">
      <c r="A24" s="119" t="s">
        <v>301</v>
      </c>
    </row>
    <row r="25" spans="1:2" ht="16" thickBot="1">
      <c r="A25" s="139">
        <f>F9+D15+B21</f>
        <v>454879.51924710808</v>
      </c>
    </row>
  </sheetData>
  <mergeCells count="1">
    <mergeCell ref="A18:B1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EF572-FE44-4316-9D7B-EA95016D03FE}">
  <dimension ref="A1:B108"/>
  <sheetViews>
    <sheetView workbookViewId="0">
      <selection activeCell="E36" sqref="E36"/>
    </sheetView>
  </sheetViews>
  <sheetFormatPr baseColWidth="10" defaultColWidth="8.83203125" defaultRowHeight="15"/>
  <cols>
    <col min="1" max="1" width="17" customWidth="1"/>
  </cols>
  <sheetData>
    <row r="1" spans="1:2" ht="16" thickBot="1">
      <c r="A1" s="2" t="s">
        <v>35</v>
      </c>
      <c r="B1" s="3">
        <v>4</v>
      </c>
    </row>
    <row r="2" spans="1:2" ht="16" thickBot="1">
      <c r="A2" s="2" t="s">
        <v>36</v>
      </c>
      <c r="B2" s="3">
        <v>3</v>
      </c>
    </row>
    <row r="3" spans="1:2" ht="16" thickBot="1">
      <c r="A3" s="2" t="s">
        <v>92</v>
      </c>
      <c r="B3" s="3">
        <v>0</v>
      </c>
    </row>
    <row r="4" spans="1:2" ht="16" thickBot="1">
      <c r="A4" s="2" t="s">
        <v>37</v>
      </c>
      <c r="B4" s="3">
        <v>4</v>
      </c>
    </row>
    <row r="5" spans="1:2" ht="16" thickBot="1">
      <c r="A5" s="2" t="s">
        <v>93</v>
      </c>
      <c r="B5" s="3">
        <v>0</v>
      </c>
    </row>
    <row r="6" spans="1:2" ht="16" thickBot="1">
      <c r="A6" s="2" t="s">
        <v>94</v>
      </c>
      <c r="B6" s="3">
        <v>0</v>
      </c>
    </row>
    <row r="7" spans="1:2" ht="16" thickBot="1">
      <c r="A7" s="2" t="s">
        <v>38</v>
      </c>
      <c r="B7" s="3">
        <v>0</v>
      </c>
    </row>
    <row r="8" spans="1:2" ht="16" thickBot="1">
      <c r="A8" s="2" t="s">
        <v>39</v>
      </c>
      <c r="B8" s="3">
        <v>4</v>
      </c>
    </row>
    <row r="9" spans="1:2" ht="16" thickBot="1">
      <c r="A9" s="2" t="s">
        <v>81</v>
      </c>
      <c r="B9" s="3">
        <v>0</v>
      </c>
    </row>
    <row r="10" spans="1:2" ht="16" thickBot="1">
      <c r="A10" s="2" t="s">
        <v>40</v>
      </c>
      <c r="B10" s="3">
        <v>4</v>
      </c>
    </row>
    <row r="11" spans="1:2" ht="16" thickBot="1">
      <c r="A11" s="2" t="s">
        <v>41</v>
      </c>
      <c r="B11" s="3">
        <v>4</v>
      </c>
    </row>
    <row r="12" spans="1:2" ht="16" thickBot="1">
      <c r="A12" s="2" t="s">
        <v>95</v>
      </c>
      <c r="B12" s="3">
        <v>1</v>
      </c>
    </row>
    <row r="13" spans="1:2" ht="16" thickBot="1">
      <c r="A13" s="2" t="s">
        <v>96</v>
      </c>
      <c r="B13" s="3">
        <v>0</v>
      </c>
    </row>
    <row r="14" spans="1:2" ht="16" thickBot="1">
      <c r="A14" s="2" t="s">
        <v>114</v>
      </c>
      <c r="B14" s="3">
        <v>0</v>
      </c>
    </row>
    <row r="15" spans="1:2" ht="16" thickBot="1">
      <c r="A15" s="2" t="s">
        <v>65</v>
      </c>
      <c r="B15" s="3">
        <v>0</v>
      </c>
    </row>
    <row r="16" spans="1:2" ht="16" thickBot="1">
      <c r="A16" s="2" t="s">
        <v>42</v>
      </c>
      <c r="B16" s="3">
        <v>3</v>
      </c>
    </row>
    <row r="17" spans="1:2" ht="16" thickBot="1">
      <c r="A17" s="2" t="s">
        <v>97</v>
      </c>
      <c r="B17" s="3">
        <v>0</v>
      </c>
    </row>
    <row r="18" spans="1:2" ht="16" thickBot="1">
      <c r="A18" s="8" t="s">
        <v>43</v>
      </c>
      <c r="B18" s="3">
        <v>4</v>
      </c>
    </row>
    <row r="19" spans="1:2" ht="16" thickBot="1">
      <c r="A19" s="2" t="s">
        <v>82</v>
      </c>
      <c r="B19" s="3">
        <v>1</v>
      </c>
    </row>
    <row r="20" spans="1:2" ht="16" thickBot="1">
      <c r="A20" s="8" t="s">
        <v>44</v>
      </c>
      <c r="B20" s="3">
        <v>3</v>
      </c>
    </row>
    <row r="21" spans="1:2" ht="16" thickBot="1">
      <c r="A21" s="2" t="s">
        <v>46</v>
      </c>
      <c r="B21" s="3">
        <v>4</v>
      </c>
    </row>
    <row r="22" spans="1:2" ht="16" thickBot="1">
      <c r="A22" s="2" t="s">
        <v>98</v>
      </c>
      <c r="B22" s="3">
        <v>1</v>
      </c>
    </row>
    <row r="23" spans="1:2" ht="16" thickBot="1">
      <c r="A23" s="2" t="s">
        <v>47</v>
      </c>
      <c r="B23" s="3">
        <v>4</v>
      </c>
    </row>
    <row r="24" spans="1:2" ht="16" thickBot="1">
      <c r="A24" s="2" t="s">
        <v>48</v>
      </c>
      <c r="B24" s="3">
        <v>4</v>
      </c>
    </row>
    <row r="25" spans="1:2" ht="16" thickBot="1">
      <c r="A25" s="2" t="s">
        <v>49</v>
      </c>
      <c r="B25" s="3">
        <v>4</v>
      </c>
    </row>
    <row r="26" spans="1:2" ht="16" thickBot="1">
      <c r="A26" s="2" t="s">
        <v>50</v>
      </c>
      <c r="B26" s="3">
        <v>4</v>
      </c>
    </row>
    <row r="27" spans="1:2" ht="16" thickBot="1">
      <c r="A27" s="2" t="s">
        <v>51</v>
      </c>
      <c r="B27" s="3">
        <v>3</v>
      </c>
    </row>
    <row r="28" spans="1:2" ht="16" thickBot="1">
      <c r="A28" s="8" t="s">
        <v>66</v>
      </c>
      <c r="B28" s="3">
        <v>0</v>
      </c>
    </row>
    <row r="29" spans="1:2" ht="16" thickBot="1">
      <c r="A29" s="2" t="s">
        <v>99</v>
      </c>
      <c r="B29" s="3">
        <v>0</v>
      </c>
    </row>
    <row r="30" spans="1:2" ht="16" thickBot="1">
      <c r="A30" s="2" t="s">
        <v>45</v>
      </c>
      <c r="B30" s="3">
        <v>3</v>
      </c>
    </row>
    <row r="31" spans="1:2" ht="16" thickBot="1">
      <c r="A31" s="4" t="s">
        <v>115</v>
      </c>
      <c r="B31" s="3">
        <v>0</v>
      </c>
    </row>
    <row r="32" spans="1:2" ht="16" thickBot="1">
      <c r="A32" s="4" t="s">
        <v>52</v>
      </c>
      <c r="B32" s="3">
        <v>3</v>
      </c>
    </row>
    <row r="33" spans="1:2" ht="16" thickBot="1">
      <c r="A33" s="4" t="s">
        <v>53</v>
      </c>
      <c r="B33" s="3">
        <v>4</v>
      </c>
    </row>
    <row r="34" spans="1:2" ht="16" thickBot="1">
      <c r="A34" s="4" t="s">
        <v>116</v>
      </c>
      <c r="B34" s="3">
        <v>0</v>
      </c>
    </row>
    <row r="35" spans="1:2" ht="16" thickBot="1">
      <c r="A35" s="4" t="s">
        <v>54</v>
      </c>
      <c r="B35" s="3">
        <v>3</v>
      </c>
    </row>
    <row r="36" spans="1:2" ht="16" thickBot="1">
      <c r="A36" s="4" t="s">
        <v>83</v>
      </c>
      <c r="B36" s="3">
        <v>0</v>
      </c>
    </row>
    <row r="37" spans="1:2" ht="16" thickBot="1">
      <c r="A37" s="4" t="s">
        <v>67</v>
      </c>
      <c r="B37" s="3">
        <v>0</v>
      </c>
    </row>
    <row r="38" spans="1:2" ht="16" thickBot="1">
      <c r="A38" s="4" t="s">
        <v>117</v>
      </c>
      <c r="B38" s="3">
        <v>0</v>
      </c>
    </row>
    <row r="39" spans="1:2" ht="16" thickBot="1">
      <c r="A39" s="4" t="s">
        <v>118</v>
      </c>
      <c r="B39" s="3">
        <v>0</v>
      </c>
    </row>
    <row r="40" spans="1:2" ht="16" thickBot="1">
      <c r="A40" s="4" t="s">
        <v>55</v>
      </c>
      <c r="B40" s="3">
        <v>4</v>
      </c>
    </row>
    <row r="41" spans="1:2" ht="16" thickBot="1">
      <c r="A41" s="9" t="s">
        <v>56</v>
      </c>
      <c r="B41" s="3">
        <v>4</v>
      </c>
    </row>
    <row r="42" spans="1:2" ht="16" thickBot="1">
      <c r="A42" s="4" t="s">
        <v>57</v>
      </c>
      <c r="B42" s="3">
        <v>3</v>
      </c>
    </row>
    <row r="43" spans="1:2" ht="16" thickBot="1">
      <c r="A43" s="4" t="s">
        <v>119</v>
      </c>
      <c r="B43" s="3">
        <v>0</v>
      </c>
    </row>
    <row r="44" spans="1:2" ht="16" thickBot="1">
      <c r="A44" s="4" t="s">
        <v>58</v>
      </c>
      <c r="B44" s="3">
        <v>4</v>
      </c>
    </row>
    <row r="45" spans="1:2" ht="16" thickBot="1">
      <c r="A45" s="4" t="s">
        <v>84</v>
      </c>
      <c r="B45" s="3">
        <v>0</v>
      </c>
    </row>
    <row r="46" spans="1:2" ht="16" thickBot="1">
      <c r="A46" s="4" t="s">
        <v>68</v>
      </c>
      <c r="B46" s="3">
        <v>1</v>
      </c>
    </row>
    <row r="47" spans="1:2" ht="16" thickBot="1">
      <c r="A47" s="4" t="s">
        <v>100</v>
      </c>
      <c r="B47" s="3">
        <v>1</v>
      </c>
    </row>
    <row r="48" spans="1:2" ht="16" thickBot="1">
      <c r="A48" s="4" t="s">
        <v>101</v>
      </c>
      <c r="B48" s="3">
        <v>0</v>
      </c>
    </row>
    <row r="49" spans="1:2" ht="16" thickBot="1">
      <c r="A49" s="4" t="s">
        <v>59</v>
      </c>
      <c r="B49" s="3">
        <v>4</v>
      </c>
    </row>
    <row r="50" spans="1:2" ht="16" thickBot="1">
      <c r="A50" s="4" t="s">
        <v>69</v>
      </c>
      <c r="B50" s="3">
        <v>2</v>
      </c>
    </row>
    <row r="51" spans="1:2" ht="16" thickBot="1">
      <c r="A51" s="4" t="s">
        <v>102</v>
      </c>
      <c r="B51" s="3">
        <v>0</v>
      </c>
    </row>
    <row r="52" spans="1:2" ht="16" thickBot="1">
      <c r="A52" s="4" t="s">
        <v>70</v>
      </c>
      <c r="B52" s="3">
        <v>2</v>
      </c>
    </row>
    <row r="53" spans="1:2" ht="16" thickBot="1">
      <c r="A53" s="4" t="s">
        <v>120</v>
      </c>
      <c r="B53" s="3">
        <v>0</v>
      </c>
    </row>
    <row r="54" spans="1:2" ht="16" thickBot="1">
      <c r="A54" s="4" t="s">
        <v>71</v>
      </c>
      <c r="B54" s="3">
        <v>0</v>
      </c>
    </row>
    <row r="55" spans="1:2" ht="16" thickBot="1">
      <c r="A55" s="4" t="s">
        <v>60</v>
      </c>
      <c r="B55" s="3">
        <v>4</v>
      </c>
    </row>
    <row r="56" spans="1:2" ht="16" thickBot="1">
      <c r="A56" s="4" t="s">
        <v>85</v>
      </c>
      <c r="B56" s="3">
        <v>0</v>
      </c>
    </row>
    <row r="57" spans="1:2" ht="16" thickBot="1">
      <c r="A57" s="9" t="s">
        <v>86</v>
      </c>
      <c r="B57" s="3">
        <v>0</v>
      </c>
    </row>
    <row r="58" spans="1:2" ht="16" thickBot="1">
      <c r="A58" s="4" t="s">
        <v>103</v>
      </c>
      <c r="B58" s="3">
        <v>0</v>
      </c>
    </row>
    <row r="59" spans="1:2" ht="16" thickBot="1">
      <c r="A59" s="4" t="s">
        <v>87</v>
      </c>
      <c r="B59" s="3">
        <v>0</v>
      </c>
    </row>
    <row r="60" spans="1:2" ht="16" thickBot="1">
      <c r="A60" s="4" t="s">
        <v>121</v>
      </c>
      <c r="B60" s="3">
        <v>0</v>
      </c>
    </row>
    <row r="61" spans="1:2" ht="16" thickBot="1">
      <c r="A61" s="4" t="s">
        <v>280</v>
      </c>
      <c r="B61" s="3">
        <v>0</v>
      </c>
    </row>
    <row r="62" spans="1:2" ht="16" thickBot="1">
      <c r="A62" s="4" t="s">
        <v>104</v>
      </c>
      <c r="B62" s="3">
        <v>1</v>
      </c>
    </row>
    <row r="63" spans="1:2" ht="16" thickBot="1">
      <c r="A63" s="4" t="s">
        <v>72</v>
      </c>
      <c r="B63" s="3">
        <v>1</v>
      </c>
    </row>
    <row r="64" spans="1:2" ht="16" thickBot="1">
      <c r="A64" s="4" t="s">
        <v>122</v>
      </c>
      <c r="B64" s="3">
        <v>0</v>
      </c>
    </row>
    <row r="65" spans="1:2" ht="16" thickBot="1">
      <c r="A65" s="4" t="s">
        <v>105</v>
      </c>
      <c r="B65" s="3">
        <v>1</v>
      </c>
    </row>
    <row r="66" spans="1:2" ht="16" thickBot="1">
      <c r="A66" s="4" t="s">
        <v>73</v>
      </c>
      <c r="B66" s="3">
        <v>0</v>
      </c>
    </row>
    <row r="67" spans="1:2" ht="16" thickBot="1">
      <c r="A67" s="4" t="s">
        <v>123</v>
      </c>
      <c r="B67" s="3">
        <v>0</v>
      </c>
    </row>
    <row r="68" spans="1:2" ht="16" thickBot="1">
      <c r="A68" s="4" t="s">
        <v>88</v>
      </c>
      <c r="B68" s="3">
        <v>0</v>
      </c>
    </row>
    <row r="69" spans="1:2" ht="16" thickBot="1">
      <c r="A69" s="9" t="s">
        <v>124</v>
      </c>
      <c r="B69" s="3">
        <v>0</v>
      </c>
    </row>
    <row r="70" spans="1:2" ht="16" thickBot="1">
      <c r="A70" s="4" t="s">
        <v>74</v>
      </c>
      <c r="B70" s="3">
        <v>0</v>
      </c>
    </row>
    <row r="71" spans="1:2" ht="16" thickBot="1">
      <c r="A71" s="4" t="s">
        <v>75</v>
      </c>
      <c r="B71" s="3">
        <v>2</v>
      </c>
    </row>
    <row r="72" spans="1:2" ht="16" thickBot="1">
      <c r="A72" s="4" t="s">
        <v>61</v>
      </c>
      <c r="B72" s="3">
        <v>4</v>
      </c>
    </row>
    <row r="73" spans="1:2" ht="16" thickBot="1">
      <c r="A73" s="4" t="s">
        <v>62</v>
      </c>
      <c r="B73" s="3">
        <v>4</v>
      </c>
    </row>
    <row r="74" spans="1:2" ht="16" thickBot="1">
      <c r="A74" s="4" t="s">
        <v>125</v>
      </c>
      <c r="B74" s="3">
        <v>0</v>
      </c>
    </row>
    <row r="75" spans="1:2" ht="16" thickBot="1">
      <c r="A75" s="4" t="s">
        <v>126</v>
      </c>
      <c r="B75" s="3">
        <v>0</v>
      </c>
    </row>
    <row r="76" spans="1:2" ht="16" thickBot="1">
      <c r="A76" s="4" t="s">
        <v>127</v>
      </c>
      <c r="B76" s="3">
        <v>1</v>
      </c>
    </row>
    <row r="77" spans="1:2" ht="16" thickBot="1">
      <c r="A77" s="4" t="s">
        <v>128</v>
      </c>
      <c r="B77" s="3">
        <v>0</v>
      </c>
    </row>
    <row r="78" spans="1:2" ht="16" thickBot="1">
      <c r="A78" s="4" t="s">
        <v>76</v>
      </c>
      <c r="B78" s="3">
        <v>1</v>
      </c>
    </row>
    <row r="79" spans="1:2" ht="16" thickBot="1">
      <c r="A79" s="4" t="s">
        <v>77</v>
      </c>
      <c r="B79" s="3">
        <v>2</v>
      </c>
    </row>
    <row r="80" spans="1:2" ht="16" thickBot="1">
      <c r="A80" s="4" t="s">
        <v>78</v>
      </c>
      <c r="B80" s="3">
        <v>0</v>
      </c>
    </row>
    <row r="81" spans="1:2" ht="16" thickBot="1">
      <c r="A81" s="4" t="s">
        <v>79</v>
      </c>
      <c r="B81" s="3">
        <v>0</v>
      </c>
    </row>
    <row r="82" spans="1:2" ht="16" thickBot="1">
      <c r="A82" s="4" t="s">
        <v>129</v>
      </c>
      <c r="B82" s="3">
        <v>0</v>
      </c>
    </row>
    <row r="83" spans="1:2" ht="16" thickBot="1">
      <c r="A83" s="4" t="s">
        <v>106</v>
      </c>
      <c r="B83" s="3">
        <v>0</v>
      </c>
    </row>
    <row r="84" spans="1:2" ht="16" thickBot="1">
      <c r="A84" s="4" t="s">
        <v>130</v>
      </c>
      <c r="B84" s="3">
        <v>0</v>
      </c>
    </row>
    <row r="85" spans="1:2" ht="16" thickBot="1">
      <c r="A85" s="4" t="s">
        <v>107</v>
      </c>
      <c r="B85" s="3">
        <v>1</v>
      </c>
    </row>
    <row r="86" spans="1:2" ht="16" thickBot="1">
      <c r="A86" s="4" t="s">
        <v>89</v>
      </c>
      <c r="B86" s="3">
        <v>0</v>
      </c>
    </row>
    <row r="87" spans="1:2" ht="16" thickBot="1">
      <c r="A87" s="4" t="s">
        <v>108</v>
      </c>
      <c r="B87" s="3">
        <v>0</v>
      </c>
    </row>
    <row r="88" spans="1:2" ht="16" thickBot="1">
      <c r="A88" s="4" t="s">
        <v>63</v>
      </c>
      <c r="B88" s="3">
        <v>4</v>
      </c>
    </row>
    <row r="89" spans="1:2" ht="16" thickBot="1">
      <c r="A89" s="4" t="s">
        <v>64</v>
      </c>
      <c r="B89" s="3">
        <v>4</v>
      </c>
    </row>
    <row r="90" spans="1:2" ht="16" thickBot="1">
      <c r="A90" s="4" t="s">
        <v>109</v>
      </c>
      <c r="B90" s="3">
        <v>0</v>
      </c>
    </row>
    <row r="91" spans="1:2" ht="16" thickBot="1">
      <c r="A91" s="4" t="s">
        <v>110</v>
      </c>
      <c r="B91" s="3">
        <v>0</v>
      </c>
    </row>
    <row r="92" spans="1:2" ht="16" thickBot="1">
      <c r="A92" s="4" t="s">
        <v>111</v>
      </c>
      <c r="B92" s="3">
        <v>0</v>
      </c>
    </row>
    <row r="93" spans="1:2" ht="16" thickBot="1">
      <c r="A93" s="9" t="s">
        <v>90</v>
      </c>
      <c r="B93" s="3">
        <v>0</v>
      </c>
    </row>
    <row r="94" spans="1:2" ht="16" thickBot="1">
      <c r="A94" s="4" t="s">
        <v>131</v>
      </c>
      <c r="B94" s="3">
        <v>0</v>
      </c>
    </row>
    <row r="95" spans="1:2" ht="16" thickBot="1">
      <c r="A95" s="4" t="s">
        <v>80</v>
      </c>
      <c r="B95" s="3">
        <v>0</v>
      </c>
    </row>
    <row r="96" spans="1:2" ht="16" thickBot="1">
      <c r="A96" s="4" t="s">
        <v>112</v>
      </c>
      <c r="B96" s="3">
        <v>0</v>
      </c>
    </row>
    <row r="97" spans="1:2" ht="16" thickBot="1">
      <c r="A97" s="5" t="s">
        <v>113</v>
      </c>
      <c r="B97" s="7">
        <v>0</v>
      </c>
    </row>
    <row r="98" spans="1:2" ht="16" thickBot="1">
      <c r="A98" s="4" t="s">
        <v>91</v>
      </c>
      <c r="B98" s="3">
        <v>1</v>
      </c>
    </row>
    <row r="99" spans="1:2">
      <c r="A99" s="624" t="s">
        <v>132</v>
      </c>
      <c r="B99" s="625">
        <v>2</v>
      </c>
    </row>
    <row r="108" spans="1:2">
      <c r="A108" s="6"/>
    </row>
  </sheetData>
  <sortState xmlns:xlrd2="http://schemas.microsoft.com/office/spreadsheetml/2017/richdata2" ref="A1:B99">
    <sortCondition ref="A1:A99"/>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413c4e7-c6fe-47f6-b16c-704119fa4fe4" xsi:nil="true"/>
    <lcf76f155ced4ddcb4097134ff3c332f xmlns="757a9596-9e5e-45d3-ae4c-05baa65b727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871825BBB10184D8E40C2AFC972F65D" ma:contentTypeVersion="16" ma:contentTypeDescription="Opret et nyt dokument." ma:contentTypeScope="" ma:versionID="66ac0cf606f7c9c4e00576b266fe2b78">
  <xsd:schema xmlns:xsd="http://www.w3.org/2001/XMLSchema" xmlns:xs="http://www.w3.org/2001/XMLSchema" xmlns:p="http://schemas.microsoft.com/office/2006/metadata/properties" xmlns:ns2="757a9596-9e5e-45d3-ae4c-05baa65b7273" xmlns:ns3="3413c4e7-c6fe-47f6-b16c-704119fa4fe4" targetNamespace="http://schemas.microsoft.com/office/2006/metadata/properties" ma:root="true" ma:fieldsID="feeed6af7e0d1438952b95d6be212a4b" ns2:_="" ns3:_="">
    <xsd:import namespace="757a9596-9e5e-45d3-ae4c-05baa65b7273"/>
    <xsd:import namespace="3413c4e7-c6fe-47f6-b16c-704119fa4fe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a9596-9e5e-45d3-ae4c-05baa65b727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ledmærker" ma:readOnly="false" ma:fieldId="{5cf76f15-5ced-4ddc-b409-7134ff3c332f}" ma:taxonomyMulti="true" ma:sspId="99e2878a-b51a-4a91-9340-6ab835966ae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13c4e7-c6fe-47f6-b16c-704119fa4fe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380a0c4-9816-468e-aa61-4dfb09e4fcd1}" ma:internalName="TaxCatchAll" ma:showField="CatchAllData" ma:web="3413c4e7-c6fe-47f6-b16c-704119fa4fe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0C9170-A13E-4B49-B341-3D19AAB278EE}">
  <ds:schemaRefs>
    <ds:schemaRef ds:uri="http://schemas.microsoft.com/sharepoint/v3/contenttype/forms"/>
  </ds:schemaRefs>
</ds:datastoreItem>
</file>

<file path=customXml/itemProps2.xml><?xml version="1.0" encoding="utf-8"?>
<ds:datastoreItem xmlns:ds="http://schemas.openxmlformats.org/officeDocument/2006/customXml" ds:itemID="{9F59CEF2-72C5-42A8-A102-91549755E3DF}">
  <ds:schemaRefs>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413c4e7-c6fe-47f6-b16c-704119fa4fe4"/>
    <ds:schemaRef ds:uri="757a9596-9e5e-45d3-ae4c-05baa65b7273"/>
  </ds:schemaRefs>
</ds:datastoreItem>
</file>

<file path=customXml/itemProps3.xml><?xml version="1.0" encoding="utf-8"?>
<ds:datastoreItem xmlns:ds="http://schemas.openxmlformats.org/officeDocument/2006/customXml" ds:itemID="{C8F793A9-EEF8-4480-BAAA-FC3D61BB0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7a9596-9e5e-45d3-ae4c-05baa65b7273"/>
    <ds:schemaRef ds:uri="3413c4e7-c6fe-47f6-b16c-704119fa4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6</vt:i4>
      </vt:variant>
    </vt:vector>
  </HeadingPairs>
  <TitlesOfParts>
    <vt:vector size="6" baseType="lpstr">
      <vt:lpstr>Aktuel løntabel</vt:lpstr>
      <vt:lpstr>Musikskolelærere</vt:lpstr>
      <vt:lpstr>Musikskoleledere_mellemledere</vt:lpstr>
      <vt:lpstr>Aktuelle data</vt:lpstr>
      <vt:lpstr>Regneopgaver Modul C</vt:lpstr>
      <vt:lpstr>Skoler, stedtillæg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Bjerrum Bentzon</dc:creator>
  <cp:keywords/>
  <dc:description/>
  <cp:lastModifiedBy>Inger Bjerrum Bentzon</cp:lastModifiedBy>
  <cp:revision/>
  <cp:lastPrinted>2026-04-13T13:45:46Z</cp:lastPrinted>
  <dcterms:created xsi:type="dcterms:W3CDTF">2019-12-10T13:23:03Z</dcterms:created>
  <dcterms:modified xsi:type="dcterms:W3CDTF">2026-06-30T11:50:25Z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0x010100B871825BBB10184D8E40C2AFC972F65D</vt:lpwstr>
  </property>
  <property fmtid="{D5CDD505-2E9C-101B-9397-08002B2CF9AE}" pid="3" name="MediaServiceImageTags">
    <vt:lpwstr/>
  </property>
</Properties>
</file>