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5.10/"/>
    </mc:Choice>
  </mc:AlternateContent>
  <xr:revisionPtr revIDLastSave="444" documentId="8_{1639D227-B58E-9745-A671-BDB7CC32076E}" xr6:coauthVersionLast="47" xr6:coauthVersionMax="47" xr10:uidLastSave="{647164D3-2BF9-A64C-B240-09D994D1229F}"/>
  <workbookProtection workbookAlgorithmName="SHA-512" workbookHashValue="uNma5TJIqsjASnfB/vvYB9C2z8MPBj8HCm9g9yoQuiLoIZyMHrjvj1R0NuzaKi70W9VLZ5WSuNjOPMEqio35mA==" workbookSaltValue="29fbTHMmVjqbCnq1WzYdrQ==" workbookSpinCount="100000" lockStructure="1"/>
  <bookViews>
    <workbookView xWindow="69020" yWindow="660" windowWidth="34160" windowHeight="27980" tabRatio="706" xr2:uid="{B55F606D-0E9C-430D-BA0E-224558F42BE5}"/>
  </bookViews>
  <sheets>
    <sheet name="Musikskolelærere" sheetId="5" r:id="rId1"/>
    <sheet name="Regneopgaver Modul C" sheetId="10" state="hidden" r:id="rId2"/>
    <sheet name="Musikskoleledere" sheetId="6" state="hidden" r:id="rId3"/>
    <sheet name="Aktuel løntabel, lærere" sheetId="11" state="hidden" r:id="rId4"/>
    <sheet name="Aktuel løntabel, ledere" sheetId="9" state="hidden" r:id="rId5"/>
    <sheet name="Aktuelle data" sheetId="3" state="hidden" r:id="rId6"/>
    <sheet name="Manuelle tjek" sheetId="13" state="hidden" r:id="rId7"/>
    <sheet name="Skoler, stedtillæg" sheetId="4"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3" l="1"/>
  <c r="D6" i="13"/>
  <c r="D5" i="13"/>
  <c r="D4" i="13"/>
  <c r="F5" i="13"/>
  <c r="F4" i="13"/>
  <c r="F3" i="13"/>
  <c r="D3" i="13" s="1"/>
  <c r="F9" i="13"/>
  <c r="F6" i="13"/>
  <c r="G6" i="13" s="1"/>
  <c r="G5" i="13"/>
  <c r="G4" i="13"/>
  <c r="G3" i="13"/>
  <c r="E19" i="5"/>
  <c r="L435" i="11"/>
  <c r="H435" i="11"/>
  <c r="F435" i="11"/>
  <c r="L434" i="11"/>
  <c r="L436" i="11" s="1"/>
  <c r="L437" i="11" s="1"/>
  <c r="F434" i="11"/>
  <c r="C434" i="11"/>
  <c r="L429" i="11"/>
  <c r="L423" i="11"/>
  <c r="H423" i="11"/>
  <c r="L422" i="11"/>
  <c r="L424" i="11" s="1"/>
  <c r="L425" i="11" s="1"/>
  <c r="J381" i="11"/>
  <c r="H381" i="11"/>
  <c r="F381" i="11"/>
  <c r="D381" i="11"/>
  <c r="J380" i="11"/>
  <c r="H380" i="11"/>
  <c r="F380" i="11"/>
  <c r="D380" i="11"/>
  <c r="J379" i="11"/>
  <c r="H379" i="11"/>
  <c r="F379" i="11"/>
  <c r="D379" i="11"/>
  <c r="J378" i="11"/>
  <c r="H378" i="11"/>
  <c r="F378" i="11"/>
  <c r="D378" i="11"/>
  <c r="J377" i="11"/>
  <c r="H377" i="11"/>
  <c r="F377" i="11"/>
  <c r="D377" i="11"/>
  <c r="J376" i="11"/>
  <c r="H376" i="11"/>
  <c r="F376" i="11"/>
  <c r="D376" i="11"/>
  <c r="J375" i="11"/>
  <c r="H375" i="11"/>
  <c r="F375" i="11"/>
  <c r="D375" i="11"/>
  <c r="J374" i="11"/>
  <c r="H374" i="11"/>
  <c r="F374" i="11"/>
  <c r="D374" i="11"/>
  <c r="J373" i="11"/>
  <c r="H373" i="11"/>
  <c r="F373" i="11"/>
  <c r="D373" i="11"/>
  <c r="J372" i="11"/>
  <c r="H372" i="11"/>
  <c r="F372" i="11"/>
  <c r="D372" i="11"/>
  <c r="J371" i="11"/>
  <c r="H371" i="11"/>
  <c r="F371" i="11"/>
  <c r="D371" i="11"/>
  <c r="J370" i="11"/>
  <c r="H370" i="11"/>
  <c r="F370" i="11"/>
  <c r="D370" i="11"/>
  <c r="J369" i="11"/>
  <c r="H369" i="11"/>
  <c r="F369" i="11"/>
  <c r="D369" i="11"/>
  <c r="J368" i="11"/>
  <c r="H368" i="11"/>
  <c r="F368" i="11"/>
  <c r="D368" i="11"/>
  <c r="J367" i="11"/>
  <c r="H367" i="11"/>
  <c r="F367" i="11"/>
  <c r="D367" i="11"/>
  <c r="J366" i="11"/>
  <c r="H366" i="11"/>
  <c r="F366" i="11"/>
  <c r="D366" i="11"/>
  <c r="J365" i="11"/>
  <c r="H365" i="11"/>
  <c r="F365" i="11"/>
  <c r="D365" i="11"/>
  <c r="J364" i="11"/>
  <c r="H364" i="11"/>
  <c r="F364" i="11"/>
  <c r="D364" i="11"/>
  <c r="J363" i="11"/>
  <c r="H363" i="11"/>
  <c r="F363" i="11"/>
  <c r="D363" i="11"/>
  <c r="J362" i="11"/>
  <c r="H362" i="11"/>
  <c r="F362" i="11"/>
  <c r="D362" i="11"/>
  <c r="J361" i="11"/>
  <c r="H361" i="11"/>
  <c r="F361" i="11"/>
  <c r="D361" i="11"/>
  <c r="J359" i="11"/>
  <c r="L355" i="11"/>
  <c r="L471" i="11"/>
  <c r="L472" i="11"/>
  <c r="L474" i="11"/>
  <c r="L476" i="11"/>
  <c r="C483" i="11"/>
  <c r="C484" i="11"/>
  <c r="G489" i="11"/>
  <c r="J489" i="11"/>
  <c r="L489" i="11"/>
  <c r="G490" i="11"/>
  <c r="J490" i="11"/>
  <c r="L490" i="11"/>
  <c r="G491" i="11"/>
  <c r="J491" i="11"/>
  <c r="L491" i="11"/>
  <c r="G492" i="11"/>
  <c r="J492" i="11"/>
  <c r="L492" i="11"/>
  <c r="L343" i="11"/>
  <c r="L344" i="11" s="1"/>
  <c r="L345" i="11" s="1"/>
  <c r="H343" i="11"/>
  <c r="F343" i="11"/>
  <c r="H342" i="11"/>
  <c r="F342" i="11"/>
  <c r="C342" i="11"/>
  <c r="L341" i="11"/>
  <c r="F341" i="11"/>
  <c r="C341" i="11"/>
  <c r="L335" i="11"/>
  <c r="L328" i="11"/>
  <c r="F328" i="11"/>
  <c r="L327" i="11"/>
  <c r="F327" i="11"/>
  <c r="D327" i="11"/>
  <c r="L326" i="11"/>
  <c r="D326" i="11"/>
  <c r="J261" i="11"/>
  <c r="L257" i="11"/>
  <c r="L163" i="11"/>
  <c r="L164" i="11" s="1"/>
  <c r="L160" i="11"/>
  <c r="J160" i="11"/>
  <c r="H160" i="11"/>
  <c r="F160" i="11"/>
  <c r="D160" i="11"/>
  <c r="L159" i="11"/>
  <c r="J159" i="11"/>
  <c r="H159" i="11"/>
  <c r="F159" i="11"/>
  <c r="D159" i="11"/>
  <c r="L158" i="11"/>
  <c r="J158" i="11"/>
  <c r="H158" i="11"/>
  <c r="F158" i="11"/>
  <c r="D158" i="11"/>
  <c r="L157" i="11"/>
  <c r="J157" i="11"/>
  <c r="H157" i="11"/>
  <c r="F157" i="11"/>
  <c r="D157" i="11"/>
  <c r="L156" i="11"/>
  <c r="J156" i="11"/>
  <c r="H156" i="11"/>
  <c r="F156" i="11"/>
  <c r="D156" i="11"/>
  <c r="L155" i="11"/>
  <c r="J155" i="11"/>
  <c r="H155" i="11"/>
  <c r="F155" i="11"/>
  <c r="D155" i="11"/>
  <c r="L154" i="11"/>
  <c r="J154" i="11"/>
  <c r="H154" i="11"/>
  <c r="F154" i="11"/>
  <c r="D154" i="11"/>
  <c r="L153" i="11"/>
  <c r="J153" i="11"/>
  <c r="H153" i="11"/>
  <c r="F153" i="11"/>
  <c r="D153" i="11"/>
  <c r="L152" i="11"/>
  <c r="J152" i="11"/>
  <c r="H152" i="11"/>
  <c r="F152" i="11"/>
  <c r="D152" i="11"/>
  <c r="L151" i="11"/>
  <c r="J151" i="11"/>
  <c r="H151" i="11"/>
  <c r="F151" i="11"/>
  <c r="D151" i="11"/>
  <c r="L150" i="11"/>
  <c r="J150" i="11"/>
  <c r="H150" i="11"/>
  <c r="F150" i="11"/>
  <c r="D150" i="11"/>
  <c r="L149" i="11"/>
  <c r="J149" i="11"/>
  <c r="H149" i="11"/>
  <c r="F149" i="11"/>
  <c r="D149" i="11"/>
  <c r="L148" i="11"/>
  <c r="J148" i="11"/>
  <c r="H148" i="11"/>
  <c r="F148" i="11"/>
  <c r="D148" i="11"/>
  <c r="L147" i="11"/>
  <c r="J147" i="11"/>
  <c r="H147" i="11"/>
  <c r="F147" i="11"/>
  <c r="D147" i="11"/>
  <c r="L146" i="11"/>
  <c r="J146" i="11"/>
  <c r="H146" i="11"/>
  <c r="F146" i="11"/>
  <c r="D146" i="11"/>
  <c r="L145" i="11"/>
  <c r="J145" i="11"/>
  <c r="H145" i="11"/>
  <c r="F145" i="11"/>
  <c r="D145" i="11"/>
  <c r="L144" i="11"/>
  <c r="J144" i="11"/>
  <c r="H144" i="11"/>
  <c r="F144" i="11"/>
  <c r="D144" i="11"/>
  <c r="L143" i="11"/>
  <c r="J143" i="11"/>
  <c r="H143" i="11"/>
  <c r="F143" i="11"/>
  <c r="D143" i="11"/>
  <c r="L142" i="11"/>
  <c r="J142" i="11"/>
  <c r="H142" i="11"/>
  <c r="F142" i="11"/>
  <c r="D142" i="11"/>
  <c r="L141" i="11"/>
  <c r="J141" i="11"/>
  <c r="H141" i="11"/>
  <c r="F141" i="11"/>
  <c r="D141" i="11"/>
  <c r="L140" i="11"/>
  <c r="J140" i="11"/>
  <c r="H140" i="11"/>
  <c r="F140" i="11"/>
  <c r="D140" i="11"/>
  <c r="L139" i="11"/>
  <c r="J139" i="11"/>
  <c r="H139" i="11"/>
  <c r="F139" i="11"/>
  <c r="D139" i="11"/>
  <c r="L138" i="11"/>
  <c r="J138" i="11"/>
  <c r="H138" i="11"/>
  <c r="F138" i="11"/>
  <c r="D138" i="11"/>
  <c r="L137" i="11"/>
  <c r="J137" i="11"/>
  <c r="H137" i="11"/>
  <c r="F137" i="11"/>
  <c r="D137" i="11"/>
  <c r="L136" i="11"/>
  <c r="J136" i="11"/>
  <c r="H136" i="11"/>
  <c r="F136" i="11"/>
  <c r="D136" i="11"/>
  <c r="L135" i="11"/>
  <c r="J135" i="11"/>
  <c r="H135" i="11"/>
  <c r="F135" i="11"/>
  <c r="D135" i="11"/>
  <c r="L134" i="11"/>
  <c r="J134" i="11"/>
  <c r="H134" i="11"/>
  <c r="F134" i="11"/>
  <c r="D134" i="11"/>
  <c r="L133" i="11"/>
  <c r="J133" i="11"/>
  <c r="H133" i="11"/>
  <c r="F133" i="11"/>
  <c r="D133" i="11"/>
  <c r="L98" i="11"/>
  <c r="L99" i="11" s="1"/>
  <c r="L95" i="11"/>
  <c r="J95" i="11"/>
  <c r="H95" i="11"/>
  <c r="F95" i="11"/>
  <c r="D95" i="11"/>
  <c r="L94" i="11"/>
  <c r="J94" i="11"/>
  <c r="H94" i="11"/>
  <c r="F94" i="11"/>
  <c r="D94" i="11"/>
  <c r="L93" i="11"/>
  <c r="J93" i="11"/>
  <c r="H93" i="11"/>
  <c r="F93" i="11"/>
  <c r="D93" i="11"/>
  <c r="L92" i="11"/>
  <c r="J92" i="11"/>
  <c r="H92" i="11"/>
  <c r="F92" i="11"/>
  <c r="D92" i="11"/>
  <c r="L91" i="11"/>
  <c r="J91" i="11"/>
  <c r="H91" i="11"/>
  <c r="F91" i="11"/>
  <c r="D91" i="11"/>
  <c r="L90" i="11"/>
  <c r="J90" i="11"/>
  <c r="H90" i="11"/>
  <c r="F90" i="11"/>
  <c r="D90" i="11"/>
  <c r="L89" i="11"/>
  <c r="J89" i="11"/>
  <c r="H89" i="11"/>
  <c r="F89" i="11"/>
  <c r="D89" i="11"/>
  <c r="L88" i="11"/>
  <c r="J88" i="11"/>
  <c r="H88" i="11"/>
  <c r="F88" i="11"/>
  <c r="D88" i="11"/>
  <c r="L87" i="11"/>
  <c r="J87" i="11"/>
  <c r="H87" i="11"/>
  <c r="F87" i="11"/>
  <c r="D87" i="11"/>
  <c r="L86" i="11"/>
  <c r="J86" i="11"/>
  <c r="H86" i="11"/>
  <c r="F86" i="11"/>
  <c r="D86" i="11"/>
  <c r="L85" i="11"/>
  <c r="J85" i="11"/>
  <c r="H85" i="11"/>
  <c r="F85" i="11"/>
  <c r="D85" i="11"/>
  <c r="L84" i="11"/>
  <c r="J84" i="11"/>
  <c r="H84" i="11"/>
  <c r="F84" i="11"/>
  <c r="D84" i="11"/>
  <c r="L83" i="11"/>
  <c r="J83" i="11"/>
  <c r="H83" i="11"/>
  <c r="F83" i="11"/>
  <c r="D83" i="11"/>
  <c r="L82" i="11"/>
  <c r="J82" i="11"/>
  <c r="H82" i="11"/>
  <c r="F82" i="11"/>
  <c r="D82" i="11"/>
  <c r="L81" i="11"/>
  <c r="J81" i="11"/>
  <c r="H81" i="11"/>
  <c r="F81" i="11"/>
  <c r="D81" i="11"/>
  <c r="L80" i="11"/>
  <c r="J80" i="11"/>
  <c r="H80" i="11"/>
  <c r="F80" i="11"/>
  <c r="D80" i="11"/>
  <c r="L79" i="11"/>
  <c r="J79" i="11"/>
  <c r="H79" i="11"/>
  <c r="F79" i="11"/>
  <c r="D79" i="11"/>
  <c r="L78" i="11"/>
  <c r="J78" i="11"/>
  <c r="H78" i="11"/>
  <c r="F78" i="11"/>
  <c r="D78" i="11"/>
  <c r="L77" i="11"/>
  <c r="J77" i="11"/>
  <c r="H77" i="11"/>
  <c r="F77" i="11"/>
  <c r="D77" i="11"/>
  <c r="L76" i="11"/>
  <c r="J76" i="11"/>
  <c r="H76" i="11"/>
  <c r="F76" i="11"/>
  <c r="D76" i="11"/>
  <c r="L75" i="11"/>
  <c r="J75" i="11"/>
  <c r="H75" i="11"/>
  <c r="F75" i="11"/>
  <c r="D75" i="11"/>
  <c r="L74" i="11"/>
  <c r="J74" i="11"/>
  <c r="H74" i="11"/>
  <c r="F74" i="11"/>
  <c r="D74" i="11"/>
  <c r="L73" i="11"/>
  <c r="J73" i="11"/>
  <c r="H73" i="11"/>
  <c r="F73" i="11"/>
  <c r="D73" i="11"/>
  <c r="L72" i="11"/>
  <c r="J72" i="11"/>
  <c r="H72" i="11"/>
  <c r="F72" i="11"/>
  <c r="D72" i="11"/>
  <c r="L71" i="11"/>
  <c r="J71" i="11"/>
  <c r="H71" i="11"/>
  <c r="F71" i="11"/>
  <c r="D71" i="11"/>
  <c r="L70" i="11"/>
  <c r="J70" i="11"/>
  <c r="H70" i="11"/>
  <c r="F70" i="11"/>
  <c r="D70" i="11"/>
  <c r="L69" i="11"/>
  <c r="J69" i="11"/>
  <c r="H69" i="11"/>
  <c r="F69" i="11"/>
  <c r="D69" i="11"/>
  <c r="L68" i="11"/>
  <c r="J68" i="11"/>
  <c r="H68" i="11"/>
  <c r="F68" i="11"/>
  <c r="D68" i="11"/>
  <c r="L35" i="11"/>
  <c r="L36" i="11" s="1"/>
  <c r="L32" i="11"/>
  <c r="J32" i="11"/>
  <c r="H32" i="11"/>
  <c r="F32" i="11"/>
  <c r="D32" i="11"/>
  <c r="L31" i="11"/>
  <c r="J31" i="11"/>
  <c r="H31" i="11"/>
  <c r="F31" i="11"/>
  <c r="D31" i="11"/>
  <c r="L30" i="11"/>
  <c r="J30" i="11"/>
  <c r="H30" i="11"/>
  <c r="F30" i="11"/>
  <c r="D30" i="11"/>
  <c r="L29" i="11"/>
  <c r="J29" i="11"/>
  <c r="H29" i="11"/>
  <c r="F29" i="11"/>
  <c r="D29" i="11"/>
  <c r="L28" i="11"/>
  <c r="J28" i="11"/>
  <c r="H28" i="11"/>
  <c r="F28" i="11"/>
  <c r="D28" i="11"/>
  <c r="L27" i="11"/>
  <c r="J27" i="11"/>
  <c r="H27" i="11"/>
  <c r="F27" i="11"/>
  <c r="D27" i="11"/>
  <c r="L26" i="11"/>
  <c r="J26" i="11"/>
  <c r="H26" i="11"/>
  <c r="F26" i="11"/>
  <c r="D26" i="11"/>
  <c r="L25" i="11"/>
  <c r="J25" i="11"/>
  <c r="H25" i="11"/>
  <c r="F25" i="11"/>
  <c r="D25" i="11"/>
  <c r="L24" i="11"/>
  <c r="J24" i="11"/>
  <c r="H24" i="11"/>
  <c r="F24" i="11"/>
  <c r="D24" i="11"/>
  <c r="L23" i="11"/>
  <c r="J23" i="11"/>
  <c r="H23" i="11"/>
  <c r="F23" i="11"/>
  <c r="D23" i="11"/>
  <c r="L22" i="11"/>
  <c r="J22" i="11"/>
  <c r="H22" i="11"/>
  <c r="F22" i="11"/>
  <c r="D22" i="11"/>
  <c r="L21" i="11"/>
  <c r="J21" i="11"/>
  <c r="H21" i="11"/>
  <c r="F21" i="11"/>
  <c r="D21" i="11"/>
  <c r="L20" i="11"/>
  <c r="J20" i="11"/>
  <c r="H20" i="11"/>
  <c r="F20" i="11"/>
  <c r="D20" i="11"/>
  <c r="L19" i="11"/>
  <c r="J19" i="11"/>
  <c r="H19" i="11"/>
  <c r="F19" i="11"/>
  <c r="D19" i="11"/>
  <c r="L18" i="11"/>
  <c r="J18" i="11"/>
  <c r="H18" i="11"/>
  <c r="F18" i="11"/>
  <c r="D18" i="11"/>
  <c r="L17" i="11"/>
  <c r="J17" i="11"/>
  <c r="H17" i="11"/>
  <c r="F17" i="11"/>
  <c r="D17" i="11"/>
  <c r="L16" i="11"/>
  <c r="J16" i="11"/>
  <c r="H16" i="11"/>
  <c r="F16" i="11"/>
  <c r="D16" i="11"/>
  <c r="L15" i="11"/>
  <c r="J15" i="11"/>
  <c r="H15" i="11"/>
  <c r="F15" i="11"/>
  <c r="D15" i="11"/>
  <c r="L14" i="11"/>
  <c r="J14" i="11"/>
  <c r="H14" i="11"/>
  <c r="F14" i="11"/>
  <c r="D14" i="11"/>
  <c r="L13" i="11"/>
  <c r="J13" i="11"/>
  <c r="H13" i="11"/>
  <c r="F13" i="11"/>
  <c r="D13" i="11"/>
  <c r="L12" i="11"/>
  <c r="J12" i="11"/>
  <c r="H12" i="11"/>
  <c r="F12" i="11"/>
  <c r="D12" i="11"/>
  <c r="L11" i="11"/>
  <c r="J11" i="11"/>
  <c r="H11" i="11"/>
  <c r="F11" i="11"/>
  <c r="D11" i="11"/>
  <c r="L10" i="11"/>
  <c r="J10" i="11"/>
  <c r="H10" i="11"/>
  <c r="F10" i="11"/>
  <c r="D10" i="11"/>
  <c r="L9" i="11"/>
  <c r="J9" i="11"/>
  <c r="H9" i="11"/>
  <c r="F9" i="11"/>
  <c r="D9" i="11"/>
  <c r="L8" i="11"/>
  <c r="J8" i="11"/>
  <c r="H8" i="11"/>
  <c r="F8" i="11"/>
  <c r="D8" i="11"/>
  <c r="L7" i="11"/>
  <c r="J7" i="11"/>
  <c r="H7" i="11"/>
  <c r="F7" i="11"/>
  <c r="D7" i="11"/>
  <c r="L6" i="11"/>
  <c r="J6" i="11"/>
  <c r="H6" i="11"/>
  <c r="F6" i="11"/>
  <c r="D6" i="11"/>
  <c r="L5" i="11"/>
  <c r="J5" i="11"/>
  <c r="H5" i="11"/>
  <c r="F5" i="11"/>
  <c r="D5" i="11"/>
  <c r="E25" i="6" a="1"/>
  <c r="E25" i="6" s="1"/>
  <c r="C18" i="6"/>
  <c r="C17" i="6"/>
  <c r="C377" i="9"/>
  <c r="C376" i="9"/>
  <c r="C26" i="10"/>
  <c r="B24" i="10"/>
  <c r="E20" i="10"/>
  <c r="B25" i="10" s="1"/>
  <c r="D20" i="10"/>
  <c r="B20" i="10"/>
  <c r="E19" i="10"/>
  <c r="E18" i="10"/>
  <c r="F8" i="13" l="1"/>
  <c r="L329" i="11"/>
  <c r="L330" i="11" s="1"/>
  <c r="B26" i="10"/>
  <c r="D26" i="10" s="1"/>
  <c r="E26" i="10" s="1"/>
  <c r="F20" i="10"/>
  <c r="E31" i="5" a="1"/>
  <c r="E31" i="5" s="1"/>
  <c r="AN6" i="3"/>
  <c r="AN7" i="3"/>
  <c r="AN8" i="3"/>
  <c r="AN5" i="3"/>
  <c r="C19" i="6"/>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L89" i="9"/>
  <c r="L90" i="9"/>
  <c r="L91" i="9"/>
  <c r="L92" i="9"/>
  <c r="L93" i="9"/>
  <c r="L94" i="9"/>
  <c r="L95" i="9"/>
  <c r="L68" i="9"/>
  <c r="L69" i="9"/>
  <c r="L70" i="9"/>
  <c r="L71" i="9"/>
  <c r="L72" i="9"/>
  <c r="L73" i="9"/>
  <c r="L74" i="9"/>
  <c r="L75" i="9"/>
  <c r="L76" i="9"/>
  <c r="L77" i="9"/>
  <c r="L78" i="9"/>
  <c r="L79" i="9"/>
  <c r="L80" i="9"/>
  <c r="L81" i="9"/>
  <c r="L82" i="9"/>
  <c r="L83" i="9"/>
  <c r="L84" i="9"/>
  <c r="L85" i="9"/>
  <c r="L86" i="9"/>
  <c r="L87" i="9"/>
  <c r="L88" i="9"/>
  <c r="J89" i="9"/>
  <c r="J90" i="9"/>
  <c r="J91" i="9"/>
  <c r="J92" i="9"/>
  <c r="J93" i="9"/>
  <c r="J94" i="9"/>
  <c r="J95" i="9"/>
  <c r="J68" i="9"/>
  <c r="J69" i="9"/>
  <c r="J70" i="9"/>
  <c r="J71" i="9"/>
  <c r="J72" i="9"/>
  <c r="J73" i="9"/>
  <c r="J74" i="9"/>
  <c r="J75" i="9"/>
  <c r="J76" i="9"/>
  <c r="J77" i="9"/>
  <c r="J78" i="9"/>
  <c r="J79" i="9"/>
  <c r="J80" i="9"/>
  <c r="J81" i="9"/>
  <c r="J82" i="9"/>
  <c r="J83" i="9"/>
  <c r="J84" i="9"/>
  <c r="J85" i="9"/>
  <c r="J86" i="9"/>
  <c r="J87" i="9"/>
  <c r="J88" i="9"/>
  <c r="H83" i="9"/>
  <c r="H84" i="9"/>
  <c r="H85" i="9"/>
  <c r="H86" i="9"/>
  <c r="H87" i="9"/>
  <c r="H88" i="9"/>
  <c r="H89" i="9"/>
  <c r="H90" i="9"/>
  <c r="H91" i="9"/>
  <c r="H92" i="9"/>
  <c r="H93" i="9"/>
  <c r="H94" i="9"/>
  <c r="H95" i="9"/>
  <c r="H68" i="9"/>
  <c r="H69" i="9"/>
  <c r="H70" i="9"/>
  <c r="H71" i="9"/>
  <c r="H72" i="9"/>
  <c r="H73" i="9"/>
  <c r="H74" i="9"/>
  <c r="H75" i="9"/>
  <c r="H76" i="9"/>
  <c r="H77" i="9"/>
  <c r="H78" i="9"/>
  <c r="H79" i="9"/>
  <c r="H80" i="9"/>
  <c r="H81" i="9"/>
  <c r="H82"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D82" i="9"/>
  <c r="D83" i="9"/>
  <c r="D84" i="9"/>
  <c r="D85" i="9"/>
  <c r="D86" i="9"/>
  <c r="D87" i="9"/>
  <c r="D88" i="9"/>
  <c r="D89" i="9"/>
  <c r="D90" i="9"/>
  <c r="D91" i="9"/>
  <c r="D92" i="9"/>
  <c r="D93" i="9"/>
  <c r="D94" i="9"/>
  <c r="D95" i="9"/>
  <c r="D68" i="9"/>
  <c r="D69" i="9"/>
  <c r="D70" i="9"/>
  <c r="D71" i="9"/>
  <c r="D72" i="9"/>
  <c r="D73" i="9"/>
  <c r="D74" i="9"/>
  <c r="D75" i="9"/>
  <c r="D76" i="9"/>
  <c r="D77" i="9"/>
  <c r="D78" i="9"/>
  <c r="D79" i="9"/>
  <c r="D80" i="9"/>
  <c r="D81"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D6" i="9"/>
  <c r="D5" i="9"/>
  <c r="D7" i="9"/>
  <c r="D8" i="9"/>
  <c r="D9" i="9"/>
  <c r="D10" i="9"/>
  <c r="D11" i="9"/>
  <c r="D12" i="9"/>
  <c r="D13" i="9"/>
  <c r="D14" i="9"/>
  <c r="D15" i="9"/>
  <c r="D16" i="9"/>
  <c r="D17" i="9"/>
  <c r="D18" i="9"/>
  <c r="D19" i="9"/>
  <c r="D20" i="9"/>
  <c r="D21" i="9"/>
  <c r="D22" i="9"/>
  <c r="D23" i="9"/>
  <c r="D24" i="9"/>
  <c r="D25" i="9"/>
  <c r="D26" i="9"/>
  <c r="D27" i="9"/>
  <c r="D28" i="9"/>
  <c r="D29" i="9"/>
  <c r="D30" i="9"/>
  <c r="D31" i="9"/>
  <c r="D32" i="9"/>
  <c r="AB27" i="3"/>
  <c r="AB26" i="3"/>
  <c r="U11" i="3"/>
  <c r="AD11" i="3" s="1"/>
  <c r="U10" i="3"/>
  <c r="AD10" i="3" s="1"/>
  <c r="U9" i="3"/>
  <c r="AD9" i="3" s="1"/>
  <c r="U8" i="3"/>
  <c r="AD8" i="3" s="1"/>
  <c r="U7" i="3"/>
  <c r="W7" i="3" s="1"/>
  <c r="D263" i="11" s="1"/>
  <c r="U12" i="3"/>
  <c r="W12" i="3" s="1"/>
  <c r="D268" i="11"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3" i="9"/>
  <c r="L164" i="9" s="1"/>
  <c r="L383" i="9"/>
  <c r="L384" i="9"/>
  <c r="L385" i="9"/>
  <c r="L382" i="9"/>
  <c r="J383" i="9"/>
  <c r="J384" i="9"/>
  <c r="J385" i="9"/>
  <c r="J382" i="9"/>
  <c r="G383" i="9"/>
  <c r="G384" i="9"/>
  <c r="G385" i="9"/>
  <c r="G382" i="9"/>
  <c r="A36" i="10" l="1"/>
  <c r="G20" i="10"/>
  <c r="W8" i="3"/>
  <c r="D268" i="9"/>
  <c r="AE9" i="3"/>
  <c r="F268" i="9" s="1"/>
  <c r="AF9" i="3"/>
  <c r="H268" i="9" s="1"/>
  <c r="AF11" i="3"/>
  <c r="H270" i="9" s="1"/>
  <c r="D270" i="9"/>
  <c r="AE11" i="3"/>
  <c r="F270" i="9" s="1"/>
  <c r="AF10" i="3"/>
  <c r="H269" i="9" s="1"/>
  <c r="D269" i="9"/>
  <c r="AE10" i="3"/>
  <c r="F269" i="9" s="1"/>
  <c r="X12" i="3"/>
  <c r="F268" i="11" s="1"/>
  <c r="Y12" i="3"/>
  <c r="X7" i="3"/>
  <c r="F263" i="11" s="1"/>
  <c r="Y7" i="3"/>
  <c r="W11" i="3"/>
  <c r="D267" i="11" s="1"/>
  <c r="D267" i="9"/>
  <c r="W10" i="3"/>
  <c r="D266" i="11" s="1"/>
  <c r="AF8" i="3"/>
  <c r="H267" i="9" s="1"/>
  <c r="W9" i="3"/>
  <c r="D265" i="11" s="1"/>
  <c r="AD12" i="3"/>
  <c r="AD7" i="3"/>
  <c r="AE8" i="3"/>
  <c r="F267" i="9" s="1"/>
  <c r="L340" i="9"/>
  <c r="H340" i="9"/>
  <c r="F340" i="9"/>
  <c r="C339" i="9"/>
  <c r="L339" i="9"/>
  <c r="F339" i="9"/>
  <c r="L334" i="9"/>
  <c r="L328" i="9"/>
  <c r="H328" i="9"/>
  <c r="L327" i="9"/>
  <c r="J264" i="9"/>
  <c r="L260" i="9"/>
  <c r="Y8" i="3" l="1"/>
  <c r="D264" i="11"/>
  <c r="Z7" i="3"/>
  <c r="J263" i="11" s="1"/>
  <c r="H263" i="11"/>
  <c r="Z12" i="3"/>
  <c r="J268" i="11" s="1"/>
  <c r="H268" i="11"/>
  <c r="X8" i="3"/>
  <c r="F264" i="11" s="1"/>
  <c r="AG11" i="3"/>
  <c r="J270" i="9" s="1"/>
  <c r="AG10" i="3"/>
  <c r="J269" i="9" s="1"/>
  <c r="X11" i="3"/>
  <c r="F267" i="11" s="1"/>
  <c r="Y11" i="3"/>
  <c r="AF7" i="3"/>
  <c r="H266" i="9" s="1"/>
  <c r="AE7" i="3"/>
  <c r="AF12" i="3"/>
  <c r="H271" i="9" s="1"/>
  <c r="D271" i="9"/>
  <c r="AE12" i="3"/>
  <c r="F271" i="9" s="1"/>
  <c r="AG9" i="3"/>
  <c r="J268" i="9" s="1"/>
  <c r="X9" i="3"/>
  <c r="F265" i="11" s="1"/>
  <c r="Y9" i="3"/>
  <c r="Y10" i="3"/>
  <c r="X10" i="3"/>
  <c r="F266" i="11" s="1"/>
  <c r="AG8" i="3"/>
  <c r="J267" i="9" s="1"/>
  <c r="L341" i="9"/>
  <c r="L342" i="9" s="1"/>
  <c r="L329" i="9"/>
  <c r="L330" i="9" s="1"/>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35" i="9"/>
  <c r="L36" i="9" s="1"/>
  <c r="L98" i="9"/>
  <c r="L99" i="9" s="1"/>
  <c r="C16" i="6"/>
  <c r="E16" i="6" s="1"/>
  <c r="B55" i="3"/>
  <c r="B46" i="3"/>
  <c r="F34" i="5"/>
  <c r="E19" i="6"/>
  <c r="E28" i="6"/>
  <c r="E27" i="6"/>
  <c r="F33" i="5"/>
  <c r="B47" i="3"/>
  <c r="B53" i="3"/>
  <c r="B54" i="3"/>
  <c r="E36" i="6"/>
  <c r="Z9" i="3" l="1"/>
  <c r="J265" i="11" s="1"/>
  <c r="H265" i="11"/>
  <c r="Z10" i="3"/>
  <c r="J266" i="11" s="1"/>
  <c r="H266" i="11"/>
  <c r="Z11" i="3"/>
  <c r="J267" i="11" s="1"/>
  <c r="H267" i="11"/>
  <c r="Z8" i="3"/>
  <c r="J264" i="11" s="1"/>
  <c r="H264" i="11"/>
  <c r="AD18" i="3"/>
  <c r="W18" i="3"/>
  <c r="D274" i="11" s="1"/>
  <c r="AG7" i="3"/>
  <c r="J266" i="9" s="1"/>
  <c r="AD19" i="3"/>
  <c r="W19" i="3"/>
  <c r="D275" i="11" s="1"/>
  <c r="AD27" i="3"/>
  <c r="W27" i="3"/>
  <c r="D283" i="11" s="1"/>
  <c r="W20" i="3"/>
  <c r="D276" i="11" s="1"/>
  <c r="AD20" i="3"/>
  <c r="W13" i="3"/>
  <c r="D269" i="11" s="1"/>
  <c r="AD13" i="3"/>
  <c r="AD15" i="3"/>
  <c r="W15" i="3"/>
  <c r="D271" i="11" s="1"/>
  <c r="AD23" i="3"/>
  <c r="W23" i="3"/>
  <c r="D279" i="11" s="1"/>
  <c r="W16" i="3"/>
  <c r="D272" i="11" s="1"/>
  <c r="AD16" i="3"/>
  <c r="W24" i="3"/>
  <c r="D280" i="11" s="1"/>
  <c r="AD24" i="3"/>
  <c r="AD26" i="3"/>
  <c r="W26" i="3"/>
  <c r="D282" i="11" s="1"/>
  <c r="AD21" i="3"/>
  <c r="W21" i="3"/>
  <c r="D277" i="11" s="1"/>
  <c r="W14" i="3"/>
  <c r="D270" i="11" s="1"/>
  <c r="AD14" i="3"/>
  <c r="W22" i="3"/>
  <c r="D278" i="11" s="1"/>
  <c r="AD22" i="3"/>
  <c r="AD17" i="3"/>
  <c r="W17" i="3"/>
  <c r="D273" i="11" s="1"/>
  <c r="AD25" i="3"/>
  <c r="W25" i="3"/>
  <c r="D281" i="11" s="1"/>
  <c r="AG12" i="3"/>
  <c r="J271" i="9" s="1"/>
  <c r="F266" i="9"/>
  <c r="D266" i="9"/>
  <c r="B59" i="3" a="1"/>
  <c r="B59" i="3" s="1"/>
  <c r="C15" i="6" s="1"/>
  <c r="C20" i="6" s="1"/>
  <c r="B45" i="3"/>
  <c r="E17" i="6"/>
  <c r="B60" i="3" a="1"/>
  <c r="B60" i="3" s="1"/>
  <c r="C23" i="6" s="1"/>
  <c r="B50" i="3" a="1"/>
  <c r="B50" i="3" s="1"/>
  <c r="E50" i="5" s="1"/>
  <c r="B49" i="3" a="1"/>
  <c r="B49" i="3" s="1"/>
  <c r="E36" i="5" s="1"/>
  <c r="E18" i="6"/>
  <c r="F19" i="5"/>
  <c r="E48" i="5"/>
  <c r="E51" i="5"/>
  <c r="E21" i="5" l="1"/>
  <c r="F21" i="5" s="1"/>
  <c r="E20" i="5"/>
  <c r="E37" i="5"/>
  <c r="Y14" i="3"/>
  <c r="H270" i="11" s="1"/>
  <c r="X14" i="3"/>
  <c r="F270" i="11" s="1"/>
  <c r="X20" i="3"/>
  <c r="F276" i="11" s="1"/>
  <c r="Y20" i="3"/>
  <c r="X27" i="3"/>
  <c r="F283" i="11" s="1"/>
  <c r="Y27" i="3"/>
  <c r="H283" i="11" s="1"/>
  <c r="D284" i="9"/>
  <c r="AE25" i="3"/>
  <c r="F284" i="9" s="1"/>
  <c r="AF25" i="3"/>
  <c r="H284" i="9" s="1"/>
  <c r="AE21" i="3"/>
  <c r="F280" i="9" s="1"/>
  <c r="AF21" i="3"/>
  <c r="H280" i="9" s="1"/>
  <c r="D280" i="9"/>
  <c r="AE23" i="3"/>
  <c r="F282" i="9" s="1"/>
  <c r="AF23" i="3"/>
  <c r="H282" i="9" s="1"/>
  <c r="D282" i="9"/>
  <c r="AF27" i="3"/>
  <c r="H286" i="9" s="1"/>
  <c r="D286" i="9"/>
  <c r="AE27" i="3"/>
  <c r="F286" i="9" s="1"/>
  <c r="AE14" i="3"/>
  <c r="F273" i="9" s="1"/>
  <c r="AF14" i="3"/>
  <c r="H273" i="9" s="1"/>
  <c r="D273" i="9"/>
  <c r="AF20" i="3"/>
  <c r="H279" i="9" s="1"/>
  <c r="D279" i="9"/>
  <c r="AE20" i="3"/>
  <c r="F279" i="9" s="1"/>
  <c r="D276" i="9"/>
  <c r="AE17" i="3"/>
  <c r="F276" i="9" s="1"/>
  <c r="AF17" i="3"/>
  <c r="H276" i="9" s="1"/>
  <c r="AE15" i="3"/>
  <c r="F274" i="9" s="1"/>
  <c r="AF15" i="3"/>
  <c r="H274" i="9" s="1"/>
  <c r="D274" i="9"/>
  <c r="AF19" i="3"/>
  <c r="H278" i="9" s="1"/>
  <c r="D278" i="9"/>
  <c r="AE19" i="3"/>
  <c r="F278" i="9" s="1"/>
  <c r="Y16" i="3"/>
  <c r="X16" i="3"/>
  <c r="F272" i="11" s="1"/>
  <c r="X25" i="3"/>
  <c r="F281" i="11" s="1"/>
  <c r="Y25" i="3"/>
  <c r="Y23" i="3"/>
  <c r="H279" i="11" s="1"/>
  <c r="X23" i="3"/>
  <c r="F279" i="11" s="1"/>
  <c r="X17" i="3"/>
  <c r="F273" i="11" s="1"/>
  <c r="Y17" i="3"/>
  <c r="H273" i="11" s="1"/>
  <c r="X26" i="3"/>
  <c r="F282" i="11" s="1"/>
  <c r="Y26" i="3"/>
  <c r="H282" i="11" s="1"/>
  <c r="Y15" i="3"/>
  <c r="X15" i="3"/>
  <c r="F271" i="11" s="1"/>
  <c r="X19" i="3"/>
  <c r="F275" i="11" s="1"/>
  <c r="Y19" i="3"/>
  <c r="AE22" i="3"/>
  <c r="F281" i="9" s="1"/>
  <c r="AF22" i="3"/>
  <c r="H281" i="9" s="1"/>
  <c r="D281" i="9"/>
  <c r="AE13" i="3"/>
  <c r="F272" i="9" s="1"/>
  <c r="AF13" i="3"/>
  <c r="H272" i="9" s="1"/>
  <c r="D272" i="9"/>
  <c r="AE16" i="3"/>
  <c r="F275" i="9" s="1"/>
  <c r="AF16" i="3"/>
  <c r="H275" i="9" s="1"/>
  <c r="D275" i="9"/>
  <c r="X21" i="3"/>
  <c r="F277" i="11" s="1"/>
  <c r="Y21" i="3"/>
  <c r="H277" i="11" s="1"/>
  <c r="AF26" i="3"/>
  <c r="H285" i="9" s="1"/>
  <c r="D285" i="9"/>
  <c r="AE26" i="3"/>
  <c r="F285" i="9" s="1"/>
  <c r="AE24" i="3"/>
  <c r="F283" i="9" s="1"/>
  <c r="AF24" i="3"/>
  <c r="H283" i="9" s="1"/>
  <c r="D283" i="9"/>
  <c r="Y22" i="3"/>
  <c r="X22" i="3"/>
  <c r="F278" i="11" s="1"/>
  <c r="Y24" i="3"/>
  <c r="H280" i="11" s="1"/>
  <c r="X24" i="3"/>
  <c r="F280" i="11" s="1"/>
  <c r="X13" i="3"/>
  <c r="F269" i="11" s="1"/>
  <c r="Y13" i="3"/>
  <c r="H269" i="11" s="1"/>
  <c r="X18" i="3"/>
  <c r="F274" i="11" s="1"/>
  <c r="Y18" i="3"/>
  <c r="AF18" i="3"/>
  <c r="H277" i="9" s="1"/>
  <c r="D277" i="9"/>
  <c r="AE18" i="3"/>
  <c r="F277" i="9" s="1"/>
  <c r="E15" i="6"/>
  <c r="E21" i="6" s="1"/>
  <c r="E18" i="5"/>
  <c r="E29" i="5" l="1"/>
  <c r="Z24" i="3"/>
  <c r="J280" i="11" s="1"/>
  <c r="Z14" i="3"/>
  <c r="J270" i="11" s="1"/>
  <c r="Z19" i="3"/>
  <c r="J275" i="11" s="1"/>
  <c r="H275" i="11"/>
  <c r="Z25" i="3"/>
  <c r="J281" i="11" s="1"/>
  <c r="H281" i="11"/>
  <c r="Z22" i="3"/>
  <c r="J278" i="11" s="1"/>
  <c r="H278" i="11"/>
  <c r="Z15" i="3"/>
  <c r="J271" i="11" s="1"/>
  <c r="H271" i="11"/>
  <c r="Z16" i="3"/>
  <c r="J272" i="11" s="1"/>
  <c r="H272" i="11"/>
  <c r="Z20" i="3"/>
  <c r="J276" i="11" s="1"/>
  <c r="H276" i="11"/>
  <c r="Z18" i="3"/>
  <c r="J274" i="11" s="1"/>
  <c r="H274" i="11"/>
  <c r="Z13" i="3"/>
  <c r="J269" i="11" s="1"/>
  <c r="Z26" i="3"/>
  <c r="J282" i="11" s="1"/>
  <c r="Z23" i="3"/>
  <c r="J279" i="11" s="1"/>
  <c r="AG20" i="3"/>
  <c r="J279" i="9" s="1"/>
  <c r="AG16" i="3"/>
  <c r="J275" i="9" s="1"/>
  <c r="AG22" i="3"/>
  <c r="J281" i="9" s="1"/>
  <c r="AG23" i="3"/>
  <c r="J282" i="9" s="1"/>
  <c r="AG13" i="3"/>
  <c r="J272" i="9" s="1"/>
  <c r="AG17" i="3"/>
  <c r="J276" i="9" s="1"/>
  <c r="AG21" i="3"/>
  <c r="J280" i="9" s="1"/>
  <c r="E38" i="5"/>
  <c r="E39" i="5"/>
  <c r="F24" i="5"/>
  <c r="AG25" i="3"/>
  <c r="J284" i="9" s="1"/>
  <c r="AG14" i="3"/>
  <c r="J273" i="9" s="1"/>
  <c r="Z21" i="3"/>
  <c r="J277" i="11" s="1"/>
  <c r="AG24" i="3"/>
  <c r="J283" i="9" s="1"/>
  <c r="AG15" i="3"/>
  <c r="J274" i="9" s="1"/>
  <c r="Z17" i="3"/>
  <c r="J273" i="11" s="1"/>
  <c r="AG18" i="3"/>
  <c r="J277" i="9" s="1"/>
  <c r="AG26" i="3"/>
  <c r="J285" i="9" s="1"/>
  <c r="AG19" i="3"/>
  <c r="J278" i="9" s="1"/>
  <c r="AG27" i="3"/>
  <c r="J286" i="9" s="1"/>
  <c r="Z27" i="3"/>
  <c r="J283" i="11" s="1"/>
  <c r="E26" i="5"/>
  <c r="F20" i="5"/>
  <c r="E23" i="6"/>
  <c r="E49" i="5"/>
  <c r="F26" i="5" l="1"/>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<sst xmlns="http://schemas.openxmlformats.org/spreadsheetml/2006/main" count="756" uniqueCount="342">
  <si>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</si>
  <si>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</si>
  <si>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</si>
  <si>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</si>
  <si>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</si>
  <si>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</si>
  <si>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</si>
  <si>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</si>
  <si>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</si>
  <si>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</si>
  <si>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</si>
  <si>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</si>
  <si>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</si>
  <si>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</si>
  <si>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</si>
  <si>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</si>
  <si>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</si>
  <si>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</si>
  <si>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</si>
  <si>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</si>
  <si>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</si>
  <si>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</si>
  <si>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</si>
  <si>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</si>
  <si>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</si>
  <si>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</si>
  <si>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</si>
  <si>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</si>
  <si>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</si>
  <si>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</si>
  <si>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</si>
  <si>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</si>
  <si>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</si>
  <si>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</si>
  <si>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</si>
  <si>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</si>
  <si>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</si>
  <si>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</si>
  <si>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</si>
  <si>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</si>
  <si>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</si>
  <si>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</si>
  <si>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</si>
  <si>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</si>
  <si>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</si>
  <si>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</si>
  <si>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</si>
  <si>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</si>
  <si>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</si>
  <si>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</si>
  <si>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</si>
  <si>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</si>
  <si>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</si>
  <si>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</si>
  <si>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</si>
  <si>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</si>
  <si>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</si>
  <si>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</si>
  <si>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</si>
  <si>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</si>
  <si>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</si>
  <si>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</si>
  <si>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</si>
  <si>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</si>
  <si>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</si>
  <si>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</si>
  <si>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</si>
  <si>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</si>
  <si>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</si>
  <si>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</si>
  <si>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</si>
  <si>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</si>
  <si>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</si>
  <si>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</si>
  <si>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</si>
  <si>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</si>
  <si>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</si>
  <si>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</si>
  <si>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</si>
  <si>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</si>
  <si>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</si>
  <si>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</si>
  <si>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</si>
  <si>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</si>
  <si>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</si>
  <si>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</si>
  <si>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</si>
  <si>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</si>
  <si>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</si>
  <si>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</si>
  <si>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</si>
  <si>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</si>
  <si>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</si>
  <si>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</si>
  <si>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</si>
  <si>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</si>
  <si>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</si>
  <si>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</si>
  <si>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</si>
  <si>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</si>
  <si>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</si>
  <si>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</si>
  <si>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</si>
  <si>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</si>
  <si>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</si>
  <si>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</si>
  <si>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</si>
  <si>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</si>
  <si>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</si>
  <si>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</si>
  <si>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</si>
  <si>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</si>
  <si>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</si>
  <si>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</si>
  <si>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</si>
  <si>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</si>
  <si>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</si>
  <si>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</si>
  <si>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</si>
  <si>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</si>
  <si>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</si>
  <si>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</si>
  <si>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</si>
  <si>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</si>
  <si>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</si>
  <si>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</si>
  <si>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</si>
  <si>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</si>
  <si>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</si>
  <si>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</si>
  <si>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</si>
  <si>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</si>
  <si>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</si>
  <si>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</si>
  <si>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</si>
  <si>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</si>
  <si>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</si>
  <si>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</si>
  <si>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</si>
  <si>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</si>
  <si>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</si>
  <si>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</si>
  <si>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</si>
  <si>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</si>
  <si>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</si>
  <si>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</si>
  <si>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</si>
  <si>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</si>
  <si>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</si>
  <si>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</si>
  <si>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</si>
  <si>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</si>
  <si>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</si>
  <si>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</si>
  <si>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</si>
  <si>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</si>
  <si>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</si>
  <si>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</si>
  <si>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</si>
  <si>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</si>
  <si>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</si>
  <si>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</si>
  <si>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</si>
  <si>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</si>
  <si>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</si>
  <si>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</si>
  <si>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</si>
  <si>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</si>
  <si>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</si>
  <si>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</si>
  <si>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</si>
  <si>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</si>
  <si>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</si>
  <si>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</si>
  <si>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</si>
  <si>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</si>
  <si>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</si>
  <si>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</si>
  <si>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</si>
  <si>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</si>
  <si>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</si>
  <si>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</si>
  <si>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</si>
  <si>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</si>
  <si>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</si>
  <si>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</si>
  <si>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</si>
  <si>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</si>
  <si>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</si>
  <si>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</si>
  <si>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</si>
  <si>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</si>
  <si>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</si>
  <si>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</si>
  <si>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</si>
  <si>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</si>
  <si>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</si>
  <si>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</si>
  <si>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</si>
  <si>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</si>
  <si>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</si>
  <si>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</si>
  <si>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</si>
  <si>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</si>
  <si>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</si>
  <si>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</si>
  <si>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</si>
  <si>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</si>
  <si>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</si>
  <si>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</si>
  <si>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</si>
  <si>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</si>
  <si>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</si>
  <si>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</si>
  <si>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</si>
  <si>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</si>
  <si>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</si>
  <si>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</si>
  <si>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</si>
  <si>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</si>
  <si>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</si>
  <si>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</si>
  <si>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</si>
  <si>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</si>
  <si>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</si>
  <si>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</si>
  <si>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</si>
  <si>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</si>
  <si>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</si>
  <si>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</si>
  <si>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</si>
  <si>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</si>
  <si>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</si>
  <si>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</si>
  <si>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</si>
  <si>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</si>
  <si>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</si>
  <si>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</si>
  <si>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</si>
  <si>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</si>
  <si>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</si>
  <si>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</si>
  <si>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</si>
  <si>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</si>
  <si>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</si>
  <si>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</si>
  <si>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</si>
  <si>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</si>
  <si>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</si>
  <si>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</si>
  <si>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</si>
  <si>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</si>
  <si>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</si>
  <si>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</si>
  <si>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</si>
  <si>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</si>
  <si>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</si>
  <si>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</si>
  <si>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</si>
  <si>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</si>
  <si>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</si>
  <si>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</si>
  <si>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</si>
  <si>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</si>
  <si>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</si>
  <si>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</si>
  <si>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</si>
  <si>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</si>
  <si>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</si>
  <si>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</si>
  <si>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</si>
  <si>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</si>
  <si>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</si>
  <si>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</si>
  <si>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</si>
  <si>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</si>
  <si>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</si>
  <si>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</si>
  <si>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</si>
  <si>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</si>
  <si>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</si>
  <si>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</si>
  <si>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</si>
  <si>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</si>
  <si>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</si>
  <si>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</si>
  <si>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</si>
  <si>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</si>
  <si>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</si>
  <si>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</si>
  <si>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</si>
  <si>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</si>
  <si>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</si>
  <si>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</si>
  <si>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</si>
  <si>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</si>
  <si>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</si>
  <si>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</si>
  <si>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</si>
  <si>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</si>
  <si>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</si>
  <si>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</si>
  <si>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</si>
  <si>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</si>
  <si>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</si>
  <si>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</si>
  <si>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</si>
  <si>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</si>
  <si>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</si>
  <si>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</si>
  <si>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</si>
  <si>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</si>
  <si>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</si>
  <si>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</si>
  <si>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</si>
  <si>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</si>
  <si>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</si>
  <si>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</si>
  <si>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</si>
  <si>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</si>
  <si>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</si>
  <si>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</si>
  <si>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</si>
  <si>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</si>
  <si>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</si>
  <si>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</si>
  <si>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</si>
  <si>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</si>
  <si>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</si>
  <si>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</si>
  <si>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</si>
  <si>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p</t>
  </si>
  <si>
    <t xml:space="preserve">Pension </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</si>
  <si>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</si>
  <si>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Ulempegodtgørelse pr. time****</t>
  </si>
  <si>
    <t>**Det trin, du lander på, når alle trin er lagt sammen. Spørg evt. din TR eller leder, hvis du er i tvivl - eller henvend dig til MM</t>
  </si>
  <si>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MM. </t>
  </si>
  <si>
    <t>MM tager forbehold for fejl og mangler i dette skema. Kontakt sekretariatet for hjælp og vejledning eller med kommentarer og forslag.</t>
  </si>
  <si>
    <t>Lønseddeltjek, musik- og kulturskolelærere fra d. 1. oktober 2025 til d. 31. oktober 2025</t>
  </si>
  <si>
    <t>Tillæg mm</t>
  </si>
  <si>
    <t>Tillæg um</t>
  </si>
  <si>
    <t>Lønseddeltjek, musikskoleledere/-mellemledere fra d. 1. oktober 2025 til d. 31. oktober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</si>
</sst>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605">
    <xf numFmtId="0" fontId="0" fillId="0" borderId="0" xfId="0"/>
    <xf numFmtId="4" fontId="0" fillId="0" borderId="0" xfId="0" applyNumberFormat="1"/>
    <xf numFmtId="0" fontId="0" fillId="0" borderId="0" xfId="0" applyAlignment="1">
      <alignment wrapText="1"/>
    </xf>
    <xf numFmtId="0" fontId="9" fillId="5" borderId="25" xfId="0" applyFont="1" applyFill="1" applyBorder="1" applyAlignment="1">
      <alignment vertical="center" wrapText="1"/>
    </xf>
    <xf numFmtId="0" fontId="9" fillId="5" borderId="26" xfId="0" applyFont="1" applyFill="1" applyBorder="1" applyAlignment="1">
      <alignment horizontal="center" vertical="center" wrapText="1"/>
    </xf>
    <xf numFmtId="0" fontId="9" fillId="5"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5" borderId="25" xfId="0" applyFont="1" applyFill="1" applyBorder="1" applyAlignment="1">
      <alignment vertical="center"/>
    </xf>
    <xf numFmtId="0" fontId="9" fillId="5"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5" borderId="18" xfId="0" applyFont="1" applyFill="1" applyBorder="1" applyAlignment="1">
      <alignment vertical="center" wrapText="1"/>
    </xf>
    <xf numFmtId="0" fontId="26" fillId="5" borderId="19" xfId="0" applyFont="1" applyFill="1" applyBorder="1" applyAlignment="1">
      <alignment horizontal="center" vertical="center" wrapText="1"/>
    </xf>
    <xf numFmtId="0" fontId="26" fillId="5" borderId="19" xfId="0" applyFont="1" applyFill="1" applyBorder="1" applyAlignment="1">
      <alignment horizontal="left" vertical="center" wrapText="1"/>
    </xf>
    <xf numFmtId="0" fontId="26" fillId="5" borderId="12" xfId="0" applyFont="1" applyFill="1" applyBorder="1" applyAlignment="1">
      <alignment horizontal="center" vertical="center" wrapText="1"/>
    </xf>
    <xf numFmtId="0" fontId="0" fillId="5"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5" borderId="10" xfId="0" applyFont="1" applyFill="1" applyBorder="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8"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5" borderId="0" xfId="0" applyFont="1" applyFill="1" applyAlignment="1">
      <alignment horizontal="left" vertical="center" wrapText="1"/>
    </xf>
    <xf numFmtId="0" fontId="26" fillId="5"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6" borderId="6" xfId="0" applyNumberFormat="1" applyFont="1" applyFill="1" applyBorder="1"/>
    <xf numFmtId="3" fontId="41" fillId="2" borderId="6" xfId="0" applyNumberFormat="1" applyFont="1" applyFill="1" applyBorder="1"/>
    <xf numFmtId="39" fontId="41" fillId="0" borderId="0" xfId="0" applyNumberFormat="1" applyFont="1"/>
    <xf numFmtId="4" fontId="44" fillId="6"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8"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9" borderId="6" xfId="0" applyFont="1" applyFill="1" applyBorder="1" applyAlignment="1">
      <alignment horizontal="left" vertical="center"/>
    </xf>
    <xf numFmtId="0" fontId="23" fillId="9" borderId="6" xfId="0" applyFont="1" applyFill="1" applyBorder="1" applyAlignment="1">
      <alignment horizontal="right" vertical="center"/>
    </xf>
    <xf numFmtId="0" fontId="23" fillId="10" borderId="6" xfId="0" applyFont="1" applyFill="1" applyBorder="1" applyAlignment="1">
      <alignment horizontal="left" vertical="center"/>
    </xf>
    <xf numFmtId="0" fontId="23" fillId="10" borderId="18" xfId="0" applyFont="1" applyFill="1" applyBorder="1" applyAlignment="1">
      <alignment horizontal="left" vertical="center"/>
    </xf>
    <xf numFmtId="0" fontId="23" fillId="10" borderId="10" xfId="0" applyFont="1" applyFill="1" applyBorder="1" applyAlignment="1">
      <alignment horizontal="left" vertical="center"/>
    </xf>
    <xf numFmtId="0" fontId="23" fillId="9" borderId="7" xfId="0" applyFont="1" applyFill="1" applyBorder="1" applyAlignment="1">
      <alignment horizontal="left" vertical="center"/>
    </xf>
    <xf numFmtId="0" fontId="23" fillId="9" borderId="8" xfId="0" applyFont="1" applyFill="1" applyBorder="1" applyAlignment="1">
      <alignment horizontal="right" vertical="center"/>
    </xf>
    <xf numFmtId="0" fontId="23" fillId="9" borderId="9" xfId="0" applyFont="1" applyFill="1" applyBorder="1" applyAlignment="1">
      <alignment horizontal="right" vertical="center"/>
    </xf>
    <xf numFmtId="0" fontId="25" fillId="10" borderId="9" xfId="0" applyFont="1" applyFill="1" applyBorder="1" applyAlignment="1">
      <alignment horizontal="center" vertical="center" wrapText="1"/>
    </xf>
    <xf numFmtId="0" fontId="29" fillId="10" borderId="47" xfId="0" applyFont="1" applyFill="1" applyBorder="1" applyAlignment="1">
      <alignment horizontal="center" vertical="center"/>
    </xf>
    <xf numFmtId="0" fontId="29" fillId="10" borderId="57" xfId="0" applyFont="1" applyFill="1" applyBorder="1" applyAlignment="1">
      <alignment horizontal="center" vertical="center"/>
    </xf>
    <xf numFmtId="0" fontId="29" fillId="10" borderId="68" xfId="0" applyFont="1" applyFill="1" applyBorder="1" applyAlignment="1">
      <alignment horizontal="center" vertical="center" wrapText="1"/>
    </xf>
    <xf numFmtId="0" fontId="10" fillId="10" borderId="4" xfId="0" applyFont="1" applyFill="1" applyBorder="1" applyAlignment="1">
      <alignment vertical="center" wrapText="1"/>
    </xf>
    <xf numFmtId="0" fontId="0" fillId="10" borderId="0" xfId="0" applyFill="1"/>
    <xf numFmtId="0" fontId="29" fillId="10" borderId="21" xfId="0" applyFont="1" applyFill="1" applyBorder="1" applyAlignment="1">
      <alignment horizontal="center" vertical="center" wrapText="1"/>
    </xf>
    <xf numFmtId="0" fontId="10" fillId="10" borderId="7" xfId="0" applyFont="1" applyFill="1" applyBorder="1" applyAlignment="1">
      <alignment vertical="center" wrapText="1"/>
    </xf>
    <xf numFmtId="0" fontId="10" fillId="10" borderId="18" xfId="0" applyFont="1" applyFill="1" applyBorder="1" applyAlignment="1">
      <alignment vertical="center" wrapText="1"/>
    </xf>
    <xf numFmtId="0" fontId="10" fillId="10" borderId="10" xfId="0" applyFont="1" applyFill="1" applyBorder="1" applyAlignment="1">
      <alignment vertical="center" wrapText="1"/>
    </xf>
    <xf numFmtId="0" fontId="10" fillId="10" borderId="57" xfId="0" applyFont="1" applyFill="1" applyBorder="1"/>
    <xf numFmtId="0" fontId="29" fillId="10" borderId="18"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37" fillId="10" borderId="6" xfId="0" applyFont="1" applyFill="1" applyBorder="1" applyAlignment="1">
      <alignment horizontal="left" wrapText="1"/>
    </xf>
    <xf numFmtId="0" fontId="10" fillId="10" borderId="6" xfId="0" applyFont="1" applyFill="1" applyBorder="1" applyAlignment="1">
      <alignment horizontal="left" wrapText="1"/>
    </xf>
    <xf numFmtId="0" fontId="10" fillId="10" borderId="6" xfId="0" applyFont="1" applyFill="1" applyBorder="1" applyAlignment="1">
      <alignment wrapText="1"/>
    </xf>
    <xf numFmtId="0" fontId="10" fillId="10" borderId="5" xfId="0" applyFont="1" applyFill="1" applyBorder="1" applyAlignment="1">
      <alignment wrapText="1"/>
    </xf>
    <xf numFmtId="0" fontId="4" fillId="10" borderId="7" xfId="0" applyFont="1" applyFill="1" applyBorder="1" applyAlignment="1">
      <alignment vertical="center" wrapText="1"/>
    </xf>
    <xf numFmtId="0" fontId="4" fillId="10" borderId="10" xfId="0" applyFont="1" applyFill="1" applyBorder="1" applyAlignment="1">
      <alignment vertical="center" wrapText="1"/>
    </xf>
    <xf numFmtId="0" fontId="10" fillId="10" borderId="9" xfId="0" applyFont="1" applyFill="1" applyBorder="1" applyAlignment="1">
      <alignment horizontal="center" vertical="center" wrapText="1"/>
    </xf>
    <xf numFmtId="0" fontId="54" fillId="0" borderId="0" xfId="0" applyFont="1"/>
    <xf numFmtId="0" fontId="49" fillId="0" borderId="0" xfId="0" applyFont="1"/>
    <xf numFmtId="0" fontId="23" fillId="9" borderId="27" xfId="0" applyFont="1" applyFill="1" applyBorder="1" applyAlignment="1">
      <alignment horizontal="right" vertical="center"/>
    </xf>
    <xf numFmtId="0" fontId="23" fillId="9"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1"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5" borderId="6" xfId="0" applyFont="1" applyFill="1" applyBorder="1" applyAlignment="1">
      <alignment horizontal="center" vertical="center" wrapText="1"/>
    </xf>
    <xf numFmtId="4" fontId="27" fillId="10" borderId="0" xfId="0" applyNumberFormat="1" applyFont="1" applyFill="1"/>
    <xf numFmtId="2" fontId="0" fillId="0" borderId="0" xfId="0" applyNumberFormat="1"/>
    <xf numFmtId="4" fontId="0" fillId="10" borderId="0" xfId="0" applyNumberFormat="1" applyFill="1"/>
    <xf numFmtId="0" fontId="10" fillId="9" borderId="70" xfId="0" applyFont="1" applyFill="1" applyBorder="1"/>
    <xf numFmtId="0" fontId="63" fillId="9" borderId="70" xfId="0" applyFont="1" applyFill="1" applyBorder="1" applyAlignment="1">
      <alignment vertical="center"/>
    </xf>
    <xf numFmtId="0" fontId="10" fillId="10" borderId="70" xfId="0" applyFont="1" applyFill="1" applyBorder="1"/>
    <xf numFmtId="0" fontId="0" fillId="0" borderId="70" xfId="0" applyBorder="1"/>
    <xf numFmtId="0" fontId="0" fillId="12" borderId="0" xfId="0" applyFill="1"/>
    <xf numFmtId="43" fontId="0" fillId="12" borderId="70" xfId="2" applyFont="1" applyFill="1" applyBorder="1"/>
    <xf numFmtId="0" fontId="0" fillId="12"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9" borderId="43" xfId="0" applyFont="1" applyFill="1" applyBorder="1" applyAlignment="1">
      <alignment vertical="center"/>
    </xf>
    <xf numFmtId="0" fontId="63" fillId="10" borderId="25" xfId="0" applyFont="1" applyFill="1" applyBorder="1" applyAlignment="1">
      <alignment vertical="center"/>
    </xf>
    <xf numFmtId="169" fontId="65" fillId="0" borderId="26" xfId="0" applyNumberFormat="1" applyFont="1" applyBorder="1" applyAlignment="1">
      <alignment horizontal="right" vertical="center"/>
    </xf>
    <xf numFmtId="0" fontId="65" fillId="7"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0"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166" fontId="0" fillId="0" borderId="0" xfId="0" applyNumberFormat="1"/>
    <xf numFmtId="164" fontId="55" fillId="0" borderId="37" xfId="0" applyNumberFormat="1" applyFont="1" applyBorder="1"/>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1" borderId="6" xfId="0" applyNumberFormat="1" applyFont="1" applyFill="1" applyBorder="1" applyAlignment="1" applyProtection="1">
      <alignment horizontal="left"/>
      <protection locked="0" hidden="1"/>
    </xf>
    <xf numFmtId="2" fontId="3" fillId="11" borderId="19" xfId="0" applyNumberFormat="1" applyFont="1" applyFill="1" applyBorder="1" applyAlignment="1" applyProtection="1">
      <alignment horizontal="left"/>
      <protection locked="0" hidden="1"/>
    </xf>
    <xf numFmtId="2" fontId="3" fillId="11" borderId="11" xfId="0" applyNumberFormat="1" applyFont="1" applyFill="1" applyBorder="1" applyAlignment="1" applyProtection="1">
      <alignment horizontal="left"/>
      <protection locked="0" hidden="1"/>
    </xf>
    <xf numFmtId="2" fontId="3" fillId="11"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7" borderId="29" xfId="0" applyFont="1" applyFill="1" applyBorder="1"/>
    <xf numFmtId="0" fontId="49" fillId="7" borderId="4" xfId="0" applyFont="1" applyFill="1" applyBorder="1"/>
    <xf numFmtId="0" fontId="49" fillId="7" borderId="5" xfId="0" applyFont="1" applyFill="1" applyBorder="1"/>
    <xf numFmtId="0" fontId="55" fillId="0" borderId="18" xfId="0" applyFont="1" applyBorder="1"/>
    <xf numFmtId="0" fontId="55" fillId="0" borderId="6" xfId="0" applyFont="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55" fillId="0" borderId="18" xfId="0" applyFont="1" applyBorder="1" applyAlignment="1">
      <alignment horizontal="left"/>
    </xf>
    <xf numFmtId="0" fontId="55" fillId="0" borderId="6" xfId="0" applyFont="1" applyBorder="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55" fillId="0" borderId="7" xfId="0" applyFont="1" applyBorder="1" applyAlignment="1">
      <alignment horizontal="center"/>
    </xf>
    <xf numFmtId="0" fontId="55" fillId="0" borderId="8" xfId="0" applyFont="1" applyBorder="1" applyAlignment="1">
      <alignment horizontal="center"/>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14" fillId="11" borderId="6" xfId="0" applyFont="1" applyFill="1" applyBorder="1" applyAlignment="1" applyProtection="1">
      <alignment horizontal="left"/>
      <protection hidden="1"/>
    </xf>
    <xf numFmtId="0" fontId="14" fillId="11" borderId="19" xfId="0" applyFont="1" applyFill="1" applyBorder="1" applyAlignment="1" applyProtection="1">
      <alignment horizontal="left"/>
      <protection hidden="1"/>
    </xf>
    <xf numFmtId="0" fontId="3" fillId="11" borderId="6" xfId="0" applyFont="1" applyFill="1" applyBorder="1" applyProtection="1">
      <protection locked="0" hidden="1"/>
    </xf>
    <xf numFmtId="0" fontId="3" fillId="11" borderId="19" xfId="0" applyFont="1" applyFill="1" applyBorder="1" applyProtection="1">
      <protection locked="0" hidden="1"/>
    </xf>
    <xf numFmtId="0" fontId="3" fillId="11" borderId="6" xfId="0" applyFont="1" applyFill="1" applyBorder="1" applyAlignment="1" applyProtection="1">
      <alignment horizontal="left"/>
      <protection locked="0" hidden="1"/>
    </xf>
    <xf numFmtId="0" fontId="3" fillId="11" borderId="19" xfId="0" applyFont="1" applyFill="1" applyBorder="1" applyAlignment="1" applyProtection="1">
      <alignment horizontal="left"/>
      <protection locked="0" hidden="1"/>
    </xf>
    <xf numFmtId="164" fontId="3" fillId="11" borderId="6" xfId="0" applyNumberFormat="1" applyFont="1" applyFill="1" applyBorder="1" applyAlignment="1" applyProtection="1">
      <alignment horizontal="left"/>
      <protection locked="0" hidden="1"/>
    </xf>
    <xf numFmtId="164" fontId="3" fillId="11" borderId="19" xfId="0" applyNumberFormat="1" applyFont="1" applyFill="1" applyBorder="1" applyAlignment="1" applyProtection="1">
      <alignment horizontal="left"/>
      <protection locked="0" hidden="1"/>
    </xf>
    <xf numFmtId="2" fontId="3" fillId="11" borderId="27" xfId="0" applyNumberFormat="1" applyFont="1" applyFill="1" applyBorder="1" applyAlignment="1" applyProtection="1">
      <alignment horizontal="left"/>
      <protection locked="0" hidden="1"/>
    </xf>
    <xf numFmtId="2" fontId="3" fillId="11" borderId="32" xfId="0" applyNumberFormat="1" applyFont="1" applyFill="1" applyBorder="1" applyAlignment="1" applyProtection="1">
      <alignment horizontal="left"/>
      <protection locked="0" hidden="1"/>
    </xf>
    <xf numFmtId="2" fontId="3" fillId="11" borderId="52" xfId="0" applyNumberFormat="1" applyFont="1" applyFill="1" applyBorder="1" applyAlignment="1" applyProtection="1">
      <alignment horizontal="left"/>
      <protection locked="0" hidden="1"/>
    </xf>
    <xf numFmtId="0" fontId="63" fillId="9" borderId="39" xfId="0" applyFont="1" applyFill="1" applyBorder="1" applyAlignment="1">
      <alignment vertical="center"/>
    </xf>
    <xf numFmtId="0" fontId="63" fillId="9" borderId="43" xfId="0" applyFont="1" applyFill="1" applyBorder="1" applyAlignment="1">
      <alignment vertical="center"/>
    </xf>
    <xf numFmtId="0" fontId="57" fillId="0" borderId="0" xfId="0" applyFont="1" applyAlignment="1">
      <alignment horizontal="left" vertical="center" wrapText="1"/>
    </xf>
    <xf numFmtId="0" fontId="14" fillId="11" borderId="56" xfId="0" applyFont="1" applyFill="1" applyBorder="1" applyProtection="1">
      <protection locked="0" hidden="1"/>
    </xf>
    <xf numFmtId="0" fontId="14" fillId="11" borderId="47" xfId="0" applyFont="1" applyFill="1" applyBorder="1" applyProtection="1">
      <protection locked="0" hidden="1"/>
    </xf>
    <xf numFmtId="0" fontId="14" fillId="11" borderId="45" xfId="0" applyFont="1" applyFill="1" applyBorder="1" applyProtection="1">
      <protection locked="0" hidden="1"/>
    </xf>
    <xf numFmtId="0" fontId="14" fillId="11" borderId="6" xfId="0" applyFont="1" applyFill="1" applyBorder="1" applyProtection="1">
      <protection locked="0" hidden="1"/>
    </xf>
    <xf numFmtId="0" fontId="14" fillId="11" borderId="27" xfId="0" applyFont="1" applyFill="1" applyBorder="1" applyProtection="1">
      <protection hidden="1"/>
    </xf>
    <xf numFmtId="0" fontId="14" fillId="11" borderId="28" xfId="0" applyFont="1" applyFill="1" applyBorder="1" applyProtection="1">
      <protection hidden="1"/>
    </xf>
    <xf numFmtId="0" fontId="14" fillId="11" borderId="6" xfId="0" applyFont="1" applyFill="1" applyBorder="1" applyAlignment="1" applyProtection="1">
      <alignment horizontal="left"/>
      <protection locked="0" hidden="1"/>
    </xf>
    <xf numFmtId="0" fontId="55" fillId="0" borderId="10" xfId="0" applyFont="1" applyBorder="1" applyAlignment="1">
      <alignment horizontal="left"/>
    </xf>
    <xf numFmtId="0" fontId="55" fillId="0" borderId="11" xfId="0" applyFont="1" applyBorder="1" applyAlignment="1">
      <alignment horizontal="left"/>
    </xf>
    <xf numFmtId="164" fontId="49" fillId="7" borderId="44" xfId="0" applyNumberFormat="1" applyFont="1" applyFill="1" applyBorder="1" applyAlignment="1">
      <alignment horizontal="center"/>
    </xf>
    <xf numFmtId="164" fontId="49" fillId="7" borderId="41" xfId="0" applyNumberFormat="1" applyFont="1" applyFill="1" applyBorder="1" applyAlignment="1">
      <alignment horizontal="center"/>
    </xf>
    <xf numFmtId="164" fontId="49" fillId="0" borderId="6" xfId="0" applyNumberFormat="1" applyFont="1" applyBorder="1"/>
    <xf numFmtId="164" fontId="14" fillId="11" borderId="6" xfId="0" applyNumberFormat="1" applyFont="1" applyFill="1" applyBorder="1" applyAlignment="1" applyProtection="1">
      <alignment horizontal="left"/>
      <protection locked="0" hidden="1"/>
    </xf>
    <xf numFmtId="2" fontId="14" fillId="11" borderId="6" xfId="0" applyNumberFormat="1" applyFont="1" applyFill="1" applyBorder="1" applyAlignment="1" applyProtection="1">
      <alignment horizontal="left"/>
      <protection locked="0" hidden="1"/>
    </xf>
    <xf numFmtId="0" fontId="14" fillId="11" borderId="11" xfId="0" applyFont="1" applyFill="1" applyBorder="1" applyAlignment="1" applyProtection="1">
      <alignment horizontal="left"/>
      <protection locked="0" hidden="1"/>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1" borderId="27" xfId="0" applyFont="1" applyFill="1" applyBorder="1" applyAlignment="1" applyProtection="1">
      <alignment horizontal="left"/>
      <protection locked="0" hidden="1"/>
    </xf>
    <xf numFmtId="0" fontId="14" fillId="11" borderId="32" xfId="0" applyFont="1" applyFill="1" applyBorder="1" applyAlignment="1" applyProtection="1">
      <alignment horizontal="left"/>
      <protection locked="0" hidden="1"/>
    </xf>
    <xf numFmtId="0" fontId="14" fillId="11"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39" fillId="3" borderId="51" xfId="0" applyFont="1" applyFill="1" applyBorder="1" applyAlignment="1">
      <alignment horizontal="left" vertical="center"/>
    </xf>
    <xf numFmtId="0" fontId="39" fillId="3" borderId="28" xfId="0" applyFont="1" applyFill="1" applyBorder="1" applyAlignment="1">
      <alignment horizontal="left" vertical="center"/>
    </xf>
    <xf numFmtId="0" fontId="39" fillId="3" borderId="27" xfId="0" applyFont="1" applyFill="1" applyBorder="1" applyAlignment="1">
      <alignment horizontal="left" vertical="center"/>
    </xf>
    <xf numFmtId="0" fontId="39" fillId="3" borderId="32" xfId="0" applyFont="1" applyFill="1" applyBorder="1" applyAlignment="1">
      <alignment horizontal="left" vertical="center"/>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0" fontId="39" fillId="3" borderId="66" xfId="0" applyFont="1" applyFill="1" applyBorder="1" applyAlignment="1">
      <alignment horizontal="left" vertical="center"/>
    </xf>
    <xf numFmtId="0" fontId="39" fillId="3" borderId="49" xfId="0" applyFont="1" applyFill="1" applyBorder="1" applyAlignment="1">
      <alignment horizontal="left" vertical="center"/>
    </xf>
    <xf numFmtId="0" fontId="39" fillId="3" borderId="50" xfId="0" applyFont="1" applyFill="1" applyBorder="1" applyAlignment="1">
      <alignment horizontal="lef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0" fontId="0" fillId="0" borderId="0" xfId="0" applyAlignment="1">
      <alignment horizontal="left" wrapText="1"/>
    </xf>
    <xf numFmtId="0" fontId="54" fillId="0" borderId="0" xfId="0" applyFont="1" applyAlignment="1">
      <alignment horizontal="left" vertical="center"/>
    </xf>
    <xf numFmtId="0" fontId="10" fillId="10" borderId="46"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4" fillId="10" borderId="51" xfId="0" applyFont="1" applyFill="1" applyBorder="1" applyAlignment="1">
      <alignment horizontal="left" vertical="center" wrapText="1"/>
    </xf>
    <xf numFmtId="0" fontId="4" fillId="10" borderId="32" xfId="0" applyFont="1" applyFill="1" applyBorder="1" applyAlignment="1">
      <alignment horizontal="left" vertical="center" wrapText="1"/>
    </xf>
    <xf numFmtId="0" fontId="4" fillId="10" borderId="28" xfId="0" applyFont="1" applyFill="1" applyBorder="1" applyAlignment="1">
      <alignment horizontal="left" vertical="center" wrapText="1"/>
    </xf>
    <xf numFmtId="0" fontId="4" fillId="10" borderId="6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7" xfId="0" applyFont="1" applyFill="1" applyBorder="1" applyAlignment="1">
      <alignment horizontal="left" vertical="center" wrapText="1"/>
    </xf>
    <xf numFmtId="0" fontId="4" fillId="10" borderId="61"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0" borderId="54"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54" fillId="3" borderId="0" xfId="0" applyFont="1" applyFill="1"/>
    <xf numFmtId="0" fontId="38" fillId="10" borderId="46" xfId="0" applyFont="1" applyFill="1" applyBorder="1" applyAlignment="1">
      <alignment horizontal="left" vertical="center" wrapText="1"/>
    </xf>
    <xf numFmtId="0" fontId="38" fillId="10" borderId="47" xfId="0" applyFont="1" applyFill="1" applyBorder="1" applyAlignment="1">
      <alignment horizontal="left" vertical="center" wrapText="1"/>
    </xf>
    <xf numFmtId="0" fontId="38" fillId="10" borderId="45" xfId="0" applyFont="1" applyFill="1" applyBorder="1" applyAlignment="1">
      <alignment horizontal="left" vertical="center" wrapText="1"/>
    </xf>
    <xf numFmtId="9" fontId="31" fillId="0" borderId="56" xfId="0" applyNumberFormat="1" applyFont="1" applyBorder="1" applyAlignment="1">
      <alignment horizontal="right" vertical="center" wrapText="1"/>
    </xf>
    <xf numFmtId="9" fontId="31" fillId="0" borderId="57" xfId="0" applyNumberFormat="1" applyFont="1" applyBorder="1" applyAlignment="1">
      <alignment horizontal="right" vertical="center" wrapText="1"/>
    </xf>
    <xf numFmtId="0" fontId="4" fillId="10" borderId="13"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21" xfId="0" applyFont="1" applyFill="1" applyBorder="1" applyAlignment="1">
      <alignment horizontal="left" vertical="center" wrapText="1"/>
    </xf>
    <xf numFmtId="0" fontId="0" fillId="0" borderId="27" xfId="0" applyBorder="1" applyAlignment="1">
      <alignment horizontal="right" vertical="center" wrapText="1"/>
    </xf>
    <xf numFmtId="0" fontId="0" fillId="0" borderId="28" xfId="0" applyBorder="1" applyAlignment="1">
      <alignment horizontal="right" vertical="center" wrapText="1"/>
    </xf>
    <xf numFmtId="164" fontId="0" fillId="0" borderId="32"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164" fontId="27" fillId="3" borderId="47" xfId="0" applyNumberFormat="1" applyFont="1" applyFill="1" applyBorder="1" applyAlignment="1">
      <alignment horizontal="center" vertical="center" wrapText="1"/>
    </xf>
    <xf numFmtId="0" fontId="6" fillId="0" borderId="0" xfId="0" applyFont="1" applyAlignment="1">
      <alignment vertical="center" wrapText="1"/>
    </xf>
    <xf numFmtId="0" fontId="34" fillId="0" borderId="0" xfId="0" applyFont="1" applyAlignment="1">
      <alignment horizontal="left" vertical="center"/>
    </xf>
    <xf numFmtId="0" fontId="29" fillId="10" borderId="46" xfId="0" applyFont="1" applyFill="1" applyBorder="1" applyAlignment="1">
      <alignment horizontal="left" vertical="center"/>
    </xf>
    <xf numFmtId="0" fontId="29" fillId="10" borderId="47" xfId="0" applyFont="1" applyFill="1" applyBorder="1" applyAlignment="1">
      <alignment horizontal="left" vertical="center"/>
    </xf>
    <xf numFmtId="0" fontId="29" fillId="10" borderId="6" xfId="0" applyFont="1" applyFill="1" applyBorder="1" applyAlignment="1">
      <alignment horizontal="center" vertical="center" wrapText="1"/>
    </xf>
    <xf numFmtId="0" fontId="29" fillId="10" borderId="19"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0" fillId="0" borderId="5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vertical="center" wrapText="1"/>
    </xf>
    <xf numFmtId="0" fontId="0" fillId="0" borderId="32" xfId="0" applyBorder="1" applyAlignment="1">
      <alignment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164" fontId="0" fillId="0" borderId="32" xfId="0" applyNumberFormat="1" applyBorder="1" applyAlignment="1">
      <alignment horizontal="left"/>
    </xf>
    <xf numFmtId="0" fontId="0" fillId="0" borderId="32" xfId="0" applyBorder="1"/>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26" fillId="5" borderId="48" xfId="0" applyFont="1" applyFill="1" applyBorder="1" applyAlignment="1">
      <alignment horizontal="left" vertical="center" wrapText="1"/>
    </xf>
    <xf numFmtId="0" fontId="26" fillId="5" borderId="49" xfId="0" applyFont="1" applyFill="1" applyBorder="1" applyAlignment="1">
      <alignment horizontal="left" vertical="center" wrapText="1"/>
    </xf>
    <xf numFmtId="0" fontId="26" fillId="5" borderId="50" xfId="0" applyFont="1" applyFill="1" applyBorder="1" applyAlignment="1">
      <alignment horizontal="left" vertical="center" wrapText="1"/>
    </xf>
    <xf numFmtId="0" fontId="33" fillId="0" borderId="0" xfId="0" applyFont="1" applyAlignment="1">
      <alignment horizontal="center"/>
    </xf>
    <xf numFmtId="0" fontId="29" fillId="10" borderId="20"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10" borderId="14" xfId="0" applyFont="1" applyFill="1" applyBorder="1" applyAlignment="1">
      <alignment horizontal="center" vertical="center" wrapText="1"/>
    </xf>
    <xf numFmtId="0" fontId="26" fillId="5" borderId="61"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24"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51" xfId="0" applyFont="1" applyFill="1" applyBorder="1" applyAlignment="1">
      <alignment horizontal="left" vertical="center" wrapText="1"/>
    </xf>
    <xf numFmtId="0" fontId="26" fillId="5" borderId="32" xfId="0" applyFont="1" applyFill="1" applyBorder="1" applyAlignment="1">
      <alignment horizontal="left" vertical="center" wrapText="1"/>
    </xf>
    <xf numFmtId="0" fontId="26" fillId="5" borderId="28" xfId="0" applyFont="1" applyFill="1" applyBorder="1" applyAlignment="1">
      <alignment horizontal="left" vertical="center" wrapText="1"/>
    </xf>
    <xf numFmtId="0" fontId="25" fillId="10" borderId="6"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26" fillId="5" borderId="18" xfId="0" applyFont="1" applyFill="1" applyBorder="1" applyAlignment="1">
      <alignment horizontal="left" vertical="center" wrapText="1"/>
    </xf>
    <xf numFmtId="0" fontId="30" fillId="0" borderId="18" xfId="0" applyFont="1" applyBorder="1"/>
    <xf numFmtId="0" fontId="0" fillId="0" borderId="6" xfId="0" applyBorder="1"/>
    <xf numFmtId="0" fontId="49" fillId="0" borderId="0" xfId="0" applyFont="1"/>
    <xf numFmtId="0" fontId="51" fillId="0" borderId="0" xfId="0" applyFont="1" applyAlignment="1">
      <alignment horizontal="center" vertical="center"/>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45" xfId="0" applyFont="1" applyFill="1" applyBorder="1" applyAlignment="1">
      <alignment horizontal="center" vertical="center" wrapText="1"/>
    </xf>
    <xf numFmtId="3" fontId="0" fillId="3" borderId="11" xfId="0" applyNumberFormat="1" applyFill="1" applyBorder="1" applyAlignment="1">
      <alignment horizontal="right" vertical="center"/>
    </xf>
    <xf numFmtId="0" fontId="49" fillId="0" borderId="0" xfId="0" applyFont="1" applyAlignment="1">
      <alignment horizontal="left"/>
    </xf>
    <xf numFmtId="3" fontId="0" fillId="3" borderId="6" xfId="0" applyNumberFormat="1" applyFill="1" applyBorder="1" applyAlignment="1">
      <alignment horizontal="right" vertical="center"/>
    </xf>
    <xf numFmtId="0" fontId="50" fillId="0" borderId="0" xfId="0" applyFont="1" applyAlignment="1">
      <alignment horizontal="center" vertical="center"/>
    </xf>
    <xf numFmtId="0" fontId="23" fillId="9" borderId="8" xfId="0" applyFont="1" applyFill="1" applyBorder="1" applyAlignment="1">
      <alignment horizontal="center" vertical="center"/>
    </xf>
    <xf numFmtId="4" fontId="0" fillId="3" borderId="11" xfId="0" applyNumberFormat="1" applyFill="1" applyBorder="1" applyAlignment="1">
      <alignment horizontal="right" vertical="center"/>
    </xf>
    <xf numFmtId="4" fontId="0" fillId="3" borderId="11" xfId="0" applyNumberFormat="1" applyFill="1" applyBorder="1" applyAlignment="1">
      <alignment vertical="center"/>
    </xf>
    <xf numFmtId="4" fontId="0" fillId="3" borderId="6" xfId="0" applyNumberFormat="1" applyFill="1" applyBorder="1" applyAlignment="1">
      <alignment horizontal="right" vertical="center"/>
    </xf>
    <xf numFmtId="4" fontId="0" fillId="3" borderId="6" xfId="0" applyNumberFormat="1" applyFill="1" applyBorder="1" applyAlignment="1">
      <alignment vertical="center"/>
    </xf>
    <xf numFmtId="0" fontId="48" fillId="0" borderId="0" xfId="0" applyFont="1" applyAlignment="1">
      <alignment horizontal="center" vertical="center"/>
    </xf>
    <xf numFmtId="168" fontId="0" fillId="3" borderId="6" xfId="2" applyNumberFormat="1" applyFont="1" applyFill="1" applyBorder="1" applyAlignment="1">
      <alignment horizontal="center" vertical="center"/>
    </xf>
    <xf numFmtId="0" fontId="23" fillId="9" borderId="28" xfId="0" applyFont="1" applyFill="1" applyBorder="1" applyAlignment="1">
      <alignment horizontal="center" vertical="center"/>
    </xf>
    <xf numFmtId="0" fontId="23" fillId="9" borderId="6" xfId="0" applyFont="1" applyFill="1" applyBorder="1" applyAlignment="1">
      <alignment horizontal="center" vertical="center"/>
    </xf>
    <xf numFmtId="0" fontId="34" fillId="0" borderId="0" xfId="0" applyFont="1" applyAlignment="1">
      <alignment horizontal="left"/>
    </xf>
    <xf numFmtId="0" fontId="35" fillId="0" borderId="0" xfId="0" applyFont="1"/>
    <xf numFmtId="0" fontId="5" fillId="0" borderId="42" xfId="0" applyFont="1" applyBorder="1" applyAlignment="1">
      <alignment vertical="center"/>
    </xf>
    <xf numFmtId="0" fontId="5" fillId="0" borderId="30"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0" fillId="0" borderId="51" xfId="0" applyBorder="1" applyAlignment="1">
      <alignment horizontal="left"/>
    </xf>
    <xf numFmtId="0" fontId="0" fillId="0" borderId="32" xfId="0" applyBorder="1" applyAlignment="1">
      <alignment horizontal="left"/>
    </xf>
    <xf numFmtId="0" fontId="3" fillId="0" borderId="54" xfId="0" applyFont="1" applyBorder="1" applyAlignment="1">
      <alignment horizontal="left"/>
    </xf>
    <xf numFmtId="0" fontId="3" fillId="0" borderId="53" xfId="0" applyFont="1" applyBorder="1" applyAlignment="1">
      <alignment horizontal="left"/>
    </xf>
    <xf numFmtId="0" fontId="0" fillId="0" borderId="0" xfId="0" applyAlignment="1">
      <alignment horizontal="left"/>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39" fillId="3" borderId="18" xfId="0" applyFont="1" applyFill="1" applyBorder="1" applyAlignment="1">
      <alignment horizontal="left" vertical="center"/>
    </xf>
    <xf numFmtId="0" fontId="39" fillId="3" borderId="6" xfId="0" applyFont="1" applyFill="1" applyBorder="1" applyAlignment="1">
      <alignment horizontal="left" vertical="center"/>
    </xf>
    <xf numFmtId="0" fontId="39" fillId="3" borderId="11" xfId="0" applyFont="1" applyFill="1" applyBorder="1" applyAlignment="1">
      <alignment horizontal="left" vertical="center"/>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0" fillId="0" borderId="0" xfId="0"/>
    <xf numFmtId="0" fontId="3" fillId="0" borderId="0" xfId="0" applyFont="1" applyAlignment="1">
      <alignment horizontal="center"/>
    </xf>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40" fillId="0" borderId="0" xfId="0" applyNumberFormat="1" applyFont="1"/>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1"/>
  <sheetViews>
    <sheetView showGridLines="0" tabSelected="1" topLeftCell="A2" zoomScale="160" zoomScaleNormal="160" workbookViewId="0">
      <selection activeCell="C6" sqref="C6:F6"/>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90" t="s">
        <v>338</v>
      </c>
      <c r="D2" s="390"/>
      <c r="E2" s="390"/>
      <c r="F2" s="391"/>
      <c r="G2" s="24"/>
      <c r="H2" s="24"/>
      <c r="I2" s="24"/>
      <c r="J2" s="24"/>
      <c r="K2" s="24"/>
      <c r="L2" s="24"/>
    </row>
    <row r="3" spans="2:12" ht="16">
      <c r="B3" s="267" t="s">
        <v>135</v>
      </c>
      <c r="C3" s="394"/>
      <c r="D3" s="394"/>
      <c r="E3" s="394"/>
      <c r="F3" s="395"/>
      <c r="I3" s="25" t="s">
        <v>151</v>
      </c>
    </row>
    <row r="4" spans="2:12" ht="42.5" customHeight="1">
      <c r="B4" s="267" t="s">
        <v>294</v>
      </c>
      <c r="C4" s="394"/>
      <c r="D4" s="394"/>
      <c r="E4" s="394"/>
      <c r="F4" s="395"/>
      <c r="I4" s="25" t="s">
        <v>152</v>
      </c>
    </row>
    <row r="5" spans="2:12">
      <c r="B5" s="268" t="s">
        <v>295</v>
      </c>
      <c r="C5" s="294"/>
      <c r="D5" s="392">
        <v>37</v>
      </c>
      <c r="E5" s="392"/>
      <c r="F5" s="393"/>
    </row>
    <row r="6" spans="2:12">
      <c r="B6" s="268" t="s">
        <v>296</v>
      </c>
      <c r="C6" s="396"/>
      <c r="D6" s="396"/>
      <c r="E6" s="396"/>
      <c r="F6" s="397"/>
    </row>
    <row r="7" spans="2:12" ht="32">
      <c r="B7" s="267" t="s">
        <v>297</v>
      </c>
      <c r="C7" s="398"/>
      <c r="D7" s="398"/>
      <c r="E7" s="398"/>
      <c r="F7" s="399"/>
    </row>
    <row r="8" spans="2:12" ht="32">
      <c r="B8" s="267" t="s">
        <v>298</v>
      </c>
      <c r="C8" s="398"/>
      <c r="D8" s="398"/>
      <c r="E8" s="398"/>
      <c r="F8" s="399"/>
    </row>
    <row r="9" spans="2:12" ht="16">
      <c r="B9" s="267" t="s">
        <v>140</v>
      </c>
      <c r="C9" s="400"/>
      <c r="D9" s="401"/>
      <c r="E9" s="401"/>
      <c r="F9" s="402"/>
    </row>
    <row r="10" spans="2:12" ht="16">
      <c r="B10" s="267" t="s">
        <v>181</v>
      </c>
      <c r="C10" s="336"/>
      <c r="D10" s="336"/>
      <c r="E10" s="336"/>
      <c r="F10" s="337"/>
    </row>
    <row r="11" spans="2:12" ht="16">
      <c r="B11" s="267" t="s">
        <v>180</v>
      </c>
      <c r="C11" s="336"/>
      <c r="D11" s="336"/>
      <c r="E11" s="336"/>
      <c r="F11" s="337"/>
    </row>
    <row r="12" spans="2:12" ht="16">
      <c r="B12" s="267" t="s">
        <v>171</v>
      </c>
      <c r="C12" s="336"/>
      <c r="D12" s="336"/>
      <c r="E12" s="336"/>
      <c r="F12" s="337"/>
    </row>
    <row r="13" spans="2:12" ht="17" thickBot="1">
      <c r="B13" s="269" t="s">
        <v>172</v>
      </c>
      <c r="C13" s="338"/>
      <c r="D13" s="338"/>
      <c r="E13" s="338"/>
      <c r="F13" s="339"/>
    </row>
    <row r="15" spans="2:12" ht="19.25" customHeight="1" thickBot="1">
      <c r="F15" s="12"/>
    </row>
    <row r="16" spans="2:12" ht="29" customHeight="1" thickBot="1">
      <c r="B16" s="364" t="s">
        <v>136</v>
      </c>
      <c r="C16" s="365"/>
      <c r="D16" s="365"/>
      <c r="E16" s="365"/>
      <c r="F16" s="366"/>
    </row>
    <row r="17" spans="2:6">
      <c r="B17" s="367"/>
      <c r="C17" s="368"/>
      <c r="D17" s="368"/>
      <c r="E17" s="270" t="s">
        <v>182</v>
      </c>
      <c r="F17" s="271" t="s">
        <v>183</v>
      </c>
    </row>
    <row r="18" spans="2:6">
      <c r="B18" s="346" t="s">
        <v>137</v>
      </c>
      <c r="C18" s="347"/>
      <c r="D18" s="347"/>
      <c r="E18" s="272" t="e">
        <f>'Aktuelle data'!B49*C5/37</f>
        <v>#N/A</v>
      </c>
      <c r="F18" s="273" t="e">
        <f>E18/12</f>
        <v>#N/A</v>
      </c>
    </row>
    <row r="19" spans="2:6">
      <c r="B19" s="346" t="s">
        <v>155</v>
      </c>
      <c r="C19" s="347"/>
      <c r="D19" s="347"/>
      <c r="E19" s="272">
        <f>'Aktuelle data'!B44*'Aktuelle data'!C37*C5/37</f>
        <v>0</v>
      </c>
      <c r="F19" s="273">
        <f>E19/12</f>
        <v>0</v>
      </c>
    </row>
    <row r="20" spans="2:6">
      <c r="B20" s="346" t="s">
        <v>138</v>
      </c>
      <c r="C20" s="347"/>
      <c r="D20" s="347"/>
      <c r="E20" s="272">
        <f>C7*E51*C5/37</f>
        <v>0</v>
      </c>
      <c r="F20" s="273">
        <f t="shared" ref="F20:F21" si="0">E20/12</f>
        <v>0</v>
      </c>
    </row>
    <row r="21" spans="2:6">
      <c r="B21" s="346" t="s">
        <v>139</v>
      </c>
      <c r="C21" s="347"/>
      <c r="D21" s="347"/>
      <c r="E21" s="272">
        <f>C8*E51</f>
        <v>0</v>
      </c>
      <c r="F21" s="273">
        <f t="shared" si="0"/>
        <v>0</v>
      </c>
    </row>
    <row r="22" spans="2:6">
      <c r="B22" s="359" t="s">
        <v>141</v>
      </c>
      <c r="C22" s="360"/>
      <c r="D22" s="360"/>
      <c r="E22" s="343"/>
      <c r="F22" s="275" t="e">
        <f>C9*E39</f>
        <v>#N/A</v>
      </c>
    </row>
    <row r="23" spans="2:6">
      <c r="B23" s="359" t="s">
        <v>179</v>
      </c>
      <c r="C23" s="360"/>
      <c r="D23" s="360"/>
      <c r="E23" s="344"/>
      <c r="F23" s="275" t="e">
        <f>C10*E37</f>
        <v>#N/A</v>
      </c>
    </row>
    <row r="24" spans="2:6">
      <c r="B24" s="359" t="s">
        <v>178</v>
      </c>
      <c r="C24" s="360"/>
      <c r="D24" s="360"/>
      <c r="E24" s="344"/>
      <c r="F24" s="275" t="e">
        <f>C11*E37*1.5</f>
        <v>#N/A</v>
      </c>
    </row>
    <row r="25" spans="2:6">
      <c r="B25" s="276"/>
      <c r="C25" s="264"/>
      <c r="D25" s="264"/>
      <c r="E25" s="345"/>
      <c r="F25" s="277"/>
    </row>
    <row r="26" spans="2:6" ht="30" customHeight="1" thickBot="1">
      <c r="B26" s="372" t="s">
        <v>177</v>
      </c>
      <c r="C26" s="373"/>
      <c r="D26" s="373"/>
      <c r="E26" s="279" t="e">
        <f>SUM(E18:E21)</f>
        <v>#N/A</v>
      </c>
      <c r="F26" s="280" t="e">
        <f>E26/12</f>
        <v>#N/A</v>
      </c>
    </row>
    <row r="27" spans="2:6" ht="43.5" customHeight="1" thickBot="1">
      <c r="B27" s="382" t="s">
        <v>187</v>
      </c>
      <c r="C27" s="383"/>
      <c r="D27" s="383"/>
      <c r="E27" s="281"/>
      <c r="F27" s="282" t="e">
        <f>F18+F19+F20+F21+F22+F23+F24+F33+F34</f>
        <v>#N/A</v>
      </c>
    </row>
    <row r="28" spans="2:6" ht="16" thickBot="1">
      <c r="B28" s="358"/>
      <c r="C28" s="358"/>
      <c r="D28" s="358"/>
      <c r="E28" s="358"/>
      <c r="F28" s="358"/>
    </row>
    <row r="29" spans="2:6" ht="16" thickBot="1">
      <c r="B29" s="356" t="s">
        <v>332</v>
      </c>
      <c r="C29" s="357"/>
      <c r="D29" s="357"/>
      <c r="E29" s="332" t="e">
        <f>('Aktuelle data'!B50+Musikskolelærere!E19+Musikskolelærere!E20+Musikskolelærere!E21)*'Aktuelle data'!C38/100</f>
        <v>#N/A</v>
      </c>
      <c r="F29" s="285" t="e">
        <f>E29/12+((F23+F24)*'Aktuelle data'!C38/100)</f>
        <v>#N/A</v>
      </c>
    </row>
    <row r="30" spans="2:6" ht="16" thickBot="1">
      <c r="B30" s="286"/>
      <c r="C30" s="286"/>
      <c r="D30" s="286"/>
      <c r="E30" s="286"/>
      <c r="F30" s="287"/>
    </row>
    <row r="31" spans="2:6" ht="16" thickBot="1">
      <c r="B31" s="384" t="s">
        <v>185</v>
      </c>
      <c r="C31" s="385"/>
      <c r="D31" s="386"/>
      <c r="E31" s="288" cm="1">
        <f t="array" ref="E31">_xlfn.IFS(C5&gt;=27,'Aktuelle data'!AL5,Musikskolelærere!C5&gt;=18,'Aktuelle data'!AL6,Musikskolelærere!C5&gt;=9,'Aktuelle data'!AL7,Musikskolelærere!C5&lt;9,0)</f>
        <v>0</v>
      </c>
      <c r="F31" s="287"/>
    </row>
    <row r="32" spans="2:6" ht="16" thickBot="1">
      <c r="B32" s="286"/>
      <c r="C32" s="286"/>
      <c r="D32" s="286"/>
      <c r="E32" s="286"/>
      <c r="F32" s="287"/>
    </row>
    <row r="33" spans="2:6">
      <c r="B33" s="350" t="s">
        <v>169</v>
      </c>
      <c r="C33" s="351"/>
      <c r="D33" s="351"/>
      <c r="E33" s="352"/>
      <c r="F33" s="289">
        <f>C12*'Aktuelle data'!C40</f>
        <v>0</v>
      </c>
    </row>
    <row r="34" spans="2:6" ht="16" thickBot="1">
      <c r="B34" s="353" t="s">
        <v>170</v>
      </c>
      <c r="C34" s="354"/>
      <c r="D34" s="354"/>
      <c r="E34" s="355"/>
      <c r="F34" s="290">
        <f>C13*'Aktuelle data'!C41</f>
        <v>0</v>
      </c>
    </row>
    <row r="35" spans="2:6" ht="16" thickBot="1">
      <c r="B35" s="286"/>
      <c r="C35" s="286"/>
      <c r="D35" s="286"/>
      <c r="E35" s="286"/>
      <c r="F35" s="287"/>
    </row>
    <row r="36" spans="2:6">
      <c r="B36" s="374" t="s">
        <v>278</v>
      </c>
      <c r="C36" s="375"/>
      <c r="D36" s="375"/>
      <c r="E36" s="291" t="e">
        <f>('Aktuelle data'!B49+('Aktuelle data'!B44*'Aktuelle data'!C37)+(Musikskolelærere!C7*'Aktuelle data'!C37)+(Musikskolelærere!C8*'Aktuelle data'!C37))</f>
        <v>#N/A</v>
      </c>
      <c r="F36" s="287"/>
    </row>
    <row r="37" spans="2:6">
      <c r="B37" s="346" t="s">
        <v>144</v>
      </c>
      <c r="C37" s="347"/>
      <c r="D37" s="347"/>
      <c r="E37" s="292" t="e">
        <f>E36/1924</f>
        <v>#N/A</v>
      </c>
      <c r="F37" s="287"/>
    </row>
    <row r="38" spans="2:6">
      <c r="B38" s="376" t="s">
        <v>279</v>
      </c>
      <c r="C38" s="377"/>
      <c r="D38" s="378"/>
      <c r="E38" s="293" t="e">
        <f>E37+(E37*'Aktuelle data'!C38/3/100)</f>
        <v>#N/A</v>
      </c>
      <c r="F38" s="287"/>
    </row>
    <row r="39" spans="2:6" ht="16" thickBot="1">
      <c r="B39" s="348" t="s">
        <v>334</v>
      </c>
      <c r="C39" s="349"/>
      <c r="D39" s="349"/>
      <c r="E39" s="280" t="e">
        <f>E37/4</f>
        <v>#N/A</v>
      </c>
      <c r="F39" s="287"/>
    </row>
    <row r="40" spans="2:6" ht="16" thickBot="1">
      <c r="B40" s="264"/>
      <c r="C40" s="264"/>
      <c r="D40" s="264"/>
      <c r="E40" s="264"/>
      <c r="F40" s="264"/>
    </row>
    <row r="41" spans="2:6" ht="25" thickBot="1">
      <c r="B41" s="369" t="s">
        <v>156</v>
      </c>
      <c r="C41" s="370"/>
      <c r="D41" s="370"/>
      <c r="E41" s="370"/>
      <c r="F41" s="371"/>
    </row>
    <row r="42" spans="2:6" s="13" customFormat="1">
      <c r="B42" s="379" t="s">
        <v>153</v>
      </c>
      <c r="C42" s="380"/>
      <c r="D42" s="380"/>
      <c r="E42" s="380"/>
      <c r="F42" s="381"/>
    </row>
    <row r="43" spans="2:6" ht="27.75" customHeight="1">
      <c r="B43" s="361" t="s">
        <v>335</v>
      </c>
      <c r="C43" s="362"/>
      <c r="D43" s="362"/>
      <c r="E43" s="362"/>
      <c r="F43" s="363"/>
    </row>
    <row r="44" spans="2:6" ht="59" customHeight="1">
      <c r="B44" s="387" t="s">
        <v>336</v>
      </c>
      <c r="C44" s="388"/>
      <c r="D44" s="388"/>
      <c r="E44" s="388"/>
      <c r="F44" s="389"/>
    </row>
    <row r="45" spans="2:6" ht="41.5" customHeight="1" thickBot="1">
      <c r="B45" s="340" t="s">
        <v>333</v>
      </c>
      <c r="C45" s="341"/>
      <c r="D45" s="341"/>
      <c r="E45" s="341"/>
      <c r="F45" s="342"/>
    </row>
    <row r="46" spans="2:6" ht="16" thickBot="1">
      <c r="B46" s="333" t="s">
        <v>337</v>
      </c>
      <c r="C46" s="334"/>
      <c r="D46" s="334"/>
      <c r="E46" s="334"/>
      <c r="F46" s="335"/>
    </row>
    <row r="47" spans="2:6">
      <c r="B47" s="20"/>
      <c r="C47" s="20"/>
      <c r="D47" s="20"/>
      <c r="E47" s="20"/>
      <c r="F47" s="20"/>
    </row>
    <row r="48" spans="2:6" ht="29">
      <c r="B48" s="14" t="s">
        <v>145</v>
      </c>
      <c r="C48" s="15"/>
      <c r="D48" s="16"/>
      <c r="E48" s="15" t="e">
        <f>'Aktuelle data'!B46</f>
        <v>#N/A</v>
      </c>
      <c r="F48" s="20"/>
    </row>
    <row r="49" spans="2:6" ht="29">
      <c r="B49" s="14" t="s">
        <v>137</v>
      </c>
      <c r="C49" s="15"/>
      <c r="D49" s="16"/>
      <c r="E49" s="17" t="e">
        <f>'Aktuelle data'!B49</f>
        <v>#N/A</v>
      </c>
      <c r="F49" s="20"/>
    </row>
    <row r="50" spans="2:6" ht="29">
      <c r="B50" s="14" t="s">
        <v>164</v>
      </c>
      <c r="C50" s="15"/>
      <c r="D50" s="16"/>
      <c r="E50" s="17" t="e">
        <f>'Aktuelle data'!B50</f>
        <v>#N/A</v>
      </c>
      <c r="F50" s="20"/>
    </row>
    <row r="51" spans="2:6" ht="29">
      <c r="B51" s="14" t="s">
        <v>149</v>
      </c>
      <c r="C51" s="15"/>
      <c r="D51" s="16"/>
      <c r="E51" s="18">
        <f>'Aktuelle data'!C37</f>
        <v>1.602921</v>
      </c>
      <c r="F51" s="20"/>
    </row>
    <row r="52" spans="2:6">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sheetData>
  <sheetProtection algorithmName="SHA-512" hashValue="dhxIWQdwYCT/zrJQQYaurpJBG592j60poJdPFwgM1AzapyPrlrD/HALa4FfO2dlU3pT47ktrn0sovkktgeOR0w==" saltValue="dEBuCVj1stMp/QhE3wiK6Q==" spinCount="100000" sheet="1" selectLockedCells="1"/>
  <mergeCells count="39">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 ref="B17:D17"/>
    <mergeCell ref="B24:D24"/>
    <mergeCell ref="B19:D19"/>
    <mergeCell ref="B41:F41"/>
    <mergeCell ref="B26:D26"/>
    <mergeCell ref="B36:D36"/>
    <mergeCell ref="B38:D38"/>
    <mergeCell ref="B46:F46"/>
    <mergeCell ref="C12:F12"/>
    <mergeCell ref="C13:F13"/>
    <mergeCell ref="B45:F45"/>
    <mergeCell ref="E22:E25"/>
    <mergeCell ref="B37:D37"/>
    <mergeCell ref="B39:D39"/>
    <mergeCell ref="B33:E33"/>
    <mergeCell ref="B34:E34"/>
    <mergeCell ref="B29:D29"/>
    <mergeCell ref="B28:F28"/>
    <mergeCell ref="B23:D23"/>
    <mergeCell ref="B43:F43"/>
    <mergeCell ref="B16:F16"/>
    <mergeCell ref="B18:D18"/>
    <mergeCell ref="B22:D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304</v>
      </c>
      <c r="H1" t="s">
        <v>305</v>
      </c>
    </row>
    <row r="2" spans="1:8">
      <c r="A2" t="s">
        <v>149</v>
      </c>
      <c r="B2" s="248">
        <v>1.4940180000000001</v>
      </c>
    </row>
    <row r="3" spans="1:8">
      <c r="A3" t="s">
        <v>306</v>
      </c>
      <c r="B3" s="305">
        <v>407973</v>
      </c>
      <c r="C3" s="1"/>
      <c r="D3" s="306"/>
    </row>
    <row r="4" spans="1:8">
      <c r="A4" t="s">
        <v>150</v>
      </c>
      <c r="B4" s="248">
        <v>16.61</v>
      </c>
    </row>
    <row r="5" spans="1:8">
      <c r="A5" s="28" t="s">
        <v>305</v>
      </c>
    </row>
    <row r="6" spans="1:8">
      <c r="A6" t="s">
        <v>307</v>
      </c>
      <c r="B6" s="307">
        <v>407973</v>
      </c>
    </row>
    <row r="7" spans="1:8">
      <c r="A7" t="s">
        <v>308</v>
      </c>
    </row>
    <row r="9" spans="1:8">
      <c r="C9" s="28"/>
    </row>
    <row r="10" spans="1:8">
      <c r="A10" s="28" t="s">
        <v>309</v>
      </c>
    </row>
    <row r="11" spans="1:8">
      <c r="A11" t="s">
        <v>185</v>
      </c>
      <c r="B11" s="248">
        <v>94.65</v>
      </c>
      <c r="C11" s="306"/>
    </row>
    <row r="13" spans="1:8" ht="16" thickBot="1"/>
    <row r="14" spans="1:8" ht="16" thickBot="1">
      <c r="A14" s="308" t="s">
        <v>310</v>
      </c>
      <c r="B14" s="308" t="s">
        <v>311</v>
      </c>
      <c r="C14" s="308" t="s">
        <v>312</v>
      </c>
      <c r="D14" s="309" t="s">
        <v>313</v>
      </c>
      <c r="E14" s="309" t="s">
        <v>314</v>
      </c>
      <c r="F14" s="309" t="s">
        <v>315</v>
      </c>
      <c r="G14" s="309" t="s">
        <v>4</v>
      </c>
    </row>
    <row r="15" spans="1:8" ht="16" thickBot="1">
      <c r="A15" s="310" t="s">
        <v>316</v>
      </c>
      <c r="B15" s="311">
        <v>28</v>
      </c>
      <c r="C15" s="312"/>
      <c r="D15" s="313"/>
      <c r="E15" s="313"/>
      <c r="F15" s="313"/>
      <c r="G15" s="313"/>
    </row>
    <row r="16" spans="1:8" ht="16" thickBot="1">
      <c r="A16" s="310" t="s">
        <v>317</v>
      </c>
      <c r="B16" s="311">
        <v>6</v>
      </c>
      <c r="C16" s="313"/>
      <c r="D16" s="313"/>
      <c r="E16" s="313"/>
      <c r="F16" s="313"/>
      <c r="G16" s="313"/>
    </row>
    <row r="17" spans="1:7" ht="16" thickBot="1">
      <c r="A17" s="310" t="s">
        <v>318</v>
      </c>
      <c r="B17" s="311">
        <v>4</v>
      </c>
      <c r="C17" s="313"/>
      <c r="D17" s="313"/>
      <c r="E17" s="313"/>
      <c r="F17" s="313"/>
      <c r="G17" s="313"/>
    </row>
    <row r="18" spans="1:7" ht="16" thickBot="1">
      <c r="A18" s="310" t="s">
        <v>319</v>
      </c>
      <c r="B18" s="314"/>
      <c r="C18" s="313"/>
      <c r="D18" s="315">
        <v>1500</v>
      </c>
      <c r="E18" s="315">
        <f>D18*B2*30/37</f>
        <v>1817.0489189189188</v>
      </c>
      <c r="F18" s="313"/>
      <c r="G18" s="313"/>
    </row>
    <row r="19" spans="1:7" ht="16" thickBot="1">
      <c r="A19" s="310" t="s">
        <v>320</v>
      </c>
      <c r="B19" s="314"/>
      <c r="C19" s="313"/>
      <c r="D19" s="315">
        <v>10000</v>
      </c>
      <c r="E19" s="315">
        <f>D19*B2*30/37</f>
        <v>12113.659459459461</v>
      </c>
      <c r="F19" s="313"/>
      <c r="G19" s="313"/>
    </row>
    <row r="20" spans="1:7" ht="16" thickBot="1">
      <c r="A20" s="310" t="s">
        <v>321</v>
      </c>
      <c r="B20" s="316">
        <f>SUM(B15:B19)</f>
        <v>38</v>
      </c>
      <c r="C20" s="317"/>
      <c r="D20" s="315">
        <f>SUM(D18:D19)</f>
        <v>11500</v>
      </c>
      <c r="E20" s="318">
        <f>SUM(E18:E19)</f>
        <v>13930.70837837838</v>
      </c>
      <c r="F20" s="319">
        <f>C20+E20</f>
        <v>13930.70837837838</v>
      </c>
      <c r="G20" s="318">
        <f>F20/12</f>
        <v>1160.8923648648649</v>
      </c>
    </row>
    <row r="22" spans="1:7" ht="16" thickBot="1"/>
    <row r="23" spans="1:7" ht="16" thickBot="1">
      <c r="A23" s="309" t="s">
        <v>322</v>
      </c>
      <c r="B23" s="320"/>
      <c r="C23" s="320" t="s">
        <v>323</v>
      </c>
      <c r="D23" s="320" t="s">
        <v>324</v>
      </c>
      <c r="E23" s="320" t="s">
        <v>325</v>
      </c>
    </row>
    <row r="24" spans="1:7" ht="16" thickBot="1">
      <c r="A24" s="321" t="s">
        <v>137</v>
      </c>
      <c r="B24" s="322">
        <f>B6*30/37</f>
        <v>330788.91891891893</v>
      </c>
      <c r="C24" s="323"/>
      <c r="D24" s="323"/>
      <c r="E24" s="323"/>
    </row>
    <row r="25" spans="1:7" ht="16" thickBot="1">
      <c r="A25" s="321" t="s">
        <v>326</v>
      </c>
      <c r="B25" s="322">
        <f>E20</f>
        <v>13930.70837837838</v>
      </c>
      <c r="C25" s="323"/>
      <c r="D25" s="323"/>
      <c r="E25" s="323"/>
    </row>
    <row r="26" spans="1:7" ht="16" thickBot="1">
      <c r="A26" s="321" t="s">
        <v>327</v>
      </c>
      <c r="B26" s="322">
        <f>SUM(B24:B25)</f>
        <v>344719.62729729729</v>
      </c>
      <c r="C26" s="324">
        <f>B4</f>
        <v>16.61</v>
      </c>
      <c r="D26" s="325">
        <f>B26*C26/100</f>
        <v>57257.930094081079</v>
      </c>
      <c r="E26" s="326">
        <f>D26/12</f>
        <v>4771.4941745067563</v>
      </c>
    </row>
    <row r="28" spans="1:7" ht="16" thickBot="1"/>
    <row r="29" spans="1:7" ht="16" thickBot="1">
      <c r="A29" s="403" t="s">
        <v>328</v>
      </c>
      <c r="B29" s="404"/>
    </row>
    <row r="30" spans="1:7" ht="16" thickBot="1">
      <c r="A30" s="321" t="s">
        <v>278</v>
      </c>
      <c r="B30" s="327">
        <v>336162.75</v>
      </c>
    </row>
    <row r="31" spans="1:7" ht="16" thickBot="1">
      <c r="A31" s="321" t="s">
        <v>185</v>
      </c>
      <c r="B31" s="327">
        <v>1135.8</v>
      </c>
    </row>
    <row r="32" spans="1:7" ht="33" thickBot="1">
      <c r="A32" s="328" t="s">
        <v>329</v>
      </c>
      <c r="B32" s="329">
        <v>6577.32</v>
      </c>
    </row>
    <row r="34" spans="1:1" ht="16" thickBot="1"/>
    <row r="35" spans="1:1" ht="16" thickBot="1">
      <c r="A35" s="309" t="s">
        <v>330</v>
      </c>
    </row>
    <row r="36" spans="1:1" ht="16" thickBot="1">
      <c r="A36" s="330">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zoomScale="130" zoomScaleNormal="130" workbookViewId="0">
      <selection activeCell="C3" sqref="C3:E3"/>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05" t="s">
        <v>341</v>
      </c>
      <c r="D2" s="405"/>
      <c r="E2" s="405"/>
    </row>
    <row r="3" spans="2:7" ht="16">
      <c r="B3" s="295" t="s">
        <v>135</v>
      </c>
      <c r="C3" s="406"/>
      <c r="D3" s="407"/>
      <c r="E3" s="408"/>
    </row>
    <row r="4" spans="2:7" ht="32">
      <c r="B4" s="267" t="s">
        <v>301</v>
      </c>
      <c r="C4" s="409" t="s">
        <v>36</v>
      </c>
      <c r="D4" s="409"/>
      <c r="E4" s="409"/>
    </row>
    <row r="5" spans="2:7">
      <c r="B5" s="268" t="s">
        <v>295</v>
      </c>
      <c r="C5" s="294">
        <v>37</v>
      </c>
      <c r="D5" s="410" t="s">
        <v>134</v>
      </c>
      <c r="E5" s="411"/>
    </row>
    <row r="6" spans="2:7">
      <c r="B6" s="268" t="s">
        <v>296</v>
      </c>
      <c r="C6" s="412">
        <v>51</v>
      </c>
      <c r="D6" s="412"/>
      <c r="E6" s="412"/>
    </row>
    <row r="7" spans="2:7">
      <c r="B7" s="268" t="s">
        <v>299</v>
      </c>
      <c r="C7" s="424"/>
      <c r="D7" s="425"/>
      <c r="E7" s="426"/>
    </row>
    <row r="8" spans="2:7" ht="32">
      <c r="B8" s="267" t="s">
        <v>189</v>
      </c>
      <c r="C8" s="418">
        <v>3000</v>
      </c>
      <c r="D8" s="418"/>
      <c r="E8" s="418"/>
    </row>
    <row r="9" spans="2:7" ht="32">
      <c r="B9" s="267" t="s">
        <v>190</v>
      </c>
      <c r="C9" s="418">
        <v>1500</v>
      </c>
      <c r="D9" s="418"/>
      <c r="E9" s="418"/>
      <c r="G9" s="19"/>
    </row>
    <row r="10" spans="2:7" ht="16">
      <c r="B10" s="267" t="s">
        <v>173</v>
      </c>
      <c r="C10" s="419">
        <v>1</v>
      </c>
      <c r="D10" s="419"/>
      <c r="E10" s="419"/>
      <c r="G10" s="19"/>
    </row>
    <row r="11" spans="2:7" ht="16">
      <c r="B11" s="267" t="s">
        <v>174</v>
      </c>
      <c r="C11" s="419">
        <v>1</v>
      </c>
      <c r="D11" s="419"/>
      <c r="E11" s="419"/>
      <c r="G11" s="19"/>
    </row>
    <row r="12" spans="2:7" ht="29" customHeight="1" thickBot="1">
      <c r="B12" s="269" t="s">
        <v>157</v>
      </c>
      <c r="C12" s="420">
        <v>1</v>
      </c>
      <c r="D12" s="420"/>
      <c r="E12" s="420"/>
      <c r="G12" s="19"/>
    </row>
    <row r="13" spans="2:7" ht="30" thickBot="1">
      <c r="C13" s="12"/>
      <c r="D13" s="12"/>
      <c r="E13" s="12"/>
      <c r="G13" s="19"/>
    </row>
    <row r="14" spans="2:7" ht="24">
      <c r="B14" s="296" t="s">
        <v>175</v>
      </c>
      <c r="C14" s="435" t="s">
        <v>142</v>
      </c>
      <c r="D14" s="435"/>
      <c r="E14" s="271" t="s">
        <v>143</v>
      </c>
      <c r="G14" s="19"/>
    </row>
    <row r="15" spans="2:7">
      <c r="B15" s="268" t="s">
        <v>137</v>
      </c>
      <c r="C15" s="417">
        <f>'Aktuelle data'!B59*C5/37</f>
        <v>680462</v>
      </c>
      <c r="D15" s="417"/>
      <c r="E15" s="273">
        <f>C15/12</f>
        <v>56705.166666666664</v>
      </c>
      <c r="G15" s="19"/>
    </row>
    <row r="16" spans="2:7">
      <c r="B16" s="268" t="s">
        <v>191</v>
      </c>
      <c r="C16" s="417">
        <f>IF(C7="Ja",'Aktuelle data'!B56*'Aktuelle data'!C37*Musikskoleledere!C5/37,0)</f>
        <v>0</v>
      </c>
      <c r="D16" s="417"/>
      <c r="E16" s="273">
        <f>C16/12</f>
        <v>0</v>
      </c>
      <c r="G16" s="19"/>
    </row>
    <row r="17" spans="2:7">
      <c r="B17" s="297" t="s">
        <v>300</v>
      </c>
      <c r="C17" s="417">
        <f>Musikskoleledere!C8*'Aktuelle data'!C37*Musikskoleledere!C5/37</f>
        <v>4808.7629999999999</v>
      </c>
      <c r="D17" s="417"/>
      <c r="E17" s="273">
        <f>C17/12</f>
        <v>400.73025000000001</v>
      </c>
      <c r="G17" s="19"/>
    </row>
    <row r="18" spans="2:7">
      <c r="B18" s="268" t="s">
        <v>139</v>
      </c>
      <c r="C18" s="417">
        <f>C9*'Aktuelle data'!C37</f>
        <v>2404.3815</v>
      </c>
      <c r="D18" s="417"/>
      <c r="E18" s="273">
        <f>C18/12</f>
        <v>200.36512500000001</v>
      </c>
      <c r="G18" s="19"/>
    </row>
    <row r="19" spans="2:7" ht="15" customHeight="1">
      <c r="B19" s="274" t="s">
        <v>158</v>
      </c>
      <c r="C19" s="417">
        <f>(C12*'Aktuelle data'!C42*'Aktuelle data'!C37)*C5/37</f>
        <v>65719.760999999999</v>
      </c>
      <c r="D19" s="417"/>
      <c r="E19" s="273">
        <f>C19/12</f>
        <v>5476.6467499999999</v>
      </c>
    </row>
    <row r="20" spans="2:7" ht="30.75" customHeight="1">
      <c r="B20" s="298" t="s">
        <v>176</v>
      </c>
      <c r="C20" s="430">
        <f>C15+C16+C17+C18+C19</f>
        <v>753394.90550000011</v>
      </c>
      <c r="D20" s="430"/>
      <c r="E20" s="273">
        <f>E15+E16+E17+E18+E19</f>
        <v>62782.908791666661</v>
      </c>
    </row>
    <row r="21" spans="2:7" ht="33" thickBot="1">
      <c r="B21" s="278" t="s">
        <v>186</v>
      </c>
      <c r="C21" s="349"/>
      <c r="D21" s="349"/>
      <c r="E21" s="280">
        <f>E15+E16+E17+E18+E19+E27+E28</f>
        <v>62788.948791666662</v>
      </c>
    </row>
    <row r="22" spans="2:7" ht="16" thickBot="1">
      <c r="B22" s="299"/>
      <c r="C22" s="286"/>
      <c r="D22" s="287"/>
      <c r="E22" s="287"/>
    </row>
    <row r="23" spans="2:7" ht="16" thickBot="1">
      <c r="B23" s="284" t="s">
        <v>192</v>
      </c>
      <c r="C23" s="431">
        <f>('Aktuelle data'!B60+C16+C17+C18+C19)*'Aktuelle data'!C39/100*C5/37</f>
        <v>150638.16395360001</v>
      </c>
      <c r="D23" s="432"/>
      <c r="E23" s="285">
        <f>C23/12</f>
        <v>12553.180329466668</v>
      </c>
    </row>
    <row r="24" spans="2:7" ht="16" thickBot="1">
      <c r="B24" s="286"/>
      <c r="C24" s="286"/>
      <c r="D24" s="286"/>
      <c r="E24" s="286"/>
    </row>
    <row r="25" spans="2:7" ht="15" customHeight="1" thickBot="1">
      <c r="B25" s="300" t="s">
        <v>184</v>
      </c>
      <c r="C25" s="415"/>
      <c r="D25" s="416"/>
      <c r="E25" s="285" cm="1">
        <f t="array" ref="E25">_xlfn.IFS(C5&gt;=27,'Aktuelle data'!AL5,Musikskoleledere!C5&gt;=18,'Aktuelle data'!AL6,Musikskoleledere!C5&gt;9,'Aktuelle data'!AL7,Musikskoleledere!C5&lt;9,0)</f>
        <v>99</v>
      </c>
    </row>
    <row r="26" spans="2:7" ht="15" customHeight="1" thickBot="1">
      <c r="B26" s="283"/>
      <c r="C26" s="301"/>
      <c r="D26" s="302"/>
      <c r="E26" s="303"/>
    </row>
    <row r="27" spans="2:7">
      <c r="B27" s="442" t="s">
        <v>169</v>
      </c>
      <c r="C27" s="443"/>
      <c r="D27" s="443"/>
      <c r="E27" s="291">
        <f>C10*'Aktuelle data'!C40</f>
        <v>2.23</v>
      </c>
    </row>
    <row r="28" spans="2:7" ht="16" thickBot="1">
      <c r="B28" s="413" t="s">
        <v>170</v>
      </c>
      <c r="C28" s="414"/>
      <c r="D28" s="414"/>
      <c r="E28" s="280">
        <f>C11*'Aktuelle data'!C41</f>
        <v>3.81</v>
      </c>
    </row>
    <row r="29" spans="2:7" ht="15" customHeight="1" thickBot="1">
      <c r="C29" s="21"/>
      <c r="D29" s="21"/>
      <c r="E29" s="21"/>
    </row>
    <row r="30" spans="2:7" ht="24">
      <c r="B30" s="439" t="s">
        <v>156</v>
      </c>
      <c r="C30" s="440"/>
      <c r="D30" s="440"/>
      <c r="E30" s="441"/>
    </row>
    <row r="31" spans="2:7" ht="14.5" customHeight="1">
      <c r="B31" s="436" t="s">
        <v>153</v>
      </c>
      <c r="C31" s="437"/>
      <c r="D31" s="437"/>
      <c r="E31" s="438"/>
    </row>
    <row r="32" spans="2:7" ht="14.5" customHeight="1">
      <c r="B32" s="361" t="s">
        <v>195</v>
      </c>
      <c r="C32" s="362"/>
      <c r="D32" s="362"/>
      <c r="E32" s="363"/>
    </row>
    <row r="33" spans="2:6" ht="29.5" customHeight="1">
      <c r="B33" s="387" t="s">
        <v>193</v>
      </c>
      <c r="C33" s="433"/>
      <c r="D33" s="433"/>
      <c r="E33" s="434"/>
    </row>
    <row r="34" spans="2:6" ht="45.75" customHeight="1" thickBot="1">
      <c r="B34" s="427" t="s">
        <v>194</v>
      </c>
      <c r="C34" s="428"/>
      <c r="D34" s="428"/>
      <c r="E34" s="429"/>
    </row>
    <row r="35" spans="2:6" ht="31.75" customHeight="1" thickBot="1">
      <c r="B35" s="421" t="s">
        <v>188</v>
      </c>
      <c r="C35" s="422"/>
      <c r="D35" s="422"/>
      <c r="E35" s="423"/>
      <c r="F35" s="23"/>
    </row>
    <row r="36" spans="2:6" ht="29">
      <c r="B36" s="14" t="s">
        <v>149</v>
      </c>
      <c r="C36" s="15"/>
      <c r="D36" s="16"/>
      <c r="E36" s="17">
        <f>'Aktuelle data'!C39</f>
        <v>19.52</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selectLockedCells="1"/>
  <mergeCells count="29">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 ref="B28:D28"/>
    <mergeCell ref="C25:D25"/>
    <mergeCell ref="C16:D16"/>
    <mergeCell ref="C8:E8"/>
    <mergeCell ref="C10:E10"/>
    <mergeCell ref="C12:E12"/>
    <mergeCell ref="C9:E9"/>
    <mergeCell ref="C11:E11"/>
    <mergeCell ref="C2:E2"/>
    <mergeCell ref="C3:E3"/>
    <mergeCell ref="C4:E4"/>
    <mergeCell ref="D5:E5"/>
    <mergeCell ref="C6:E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96B4-3D6D-BA44-AB1E-74F789F2C470}">
  <sheetPr>
    <pageSetUpPr fitToPage="1"/>
  </sheetPr>
  <dimension ref="A2:N492"/>
  <sheetViews>
    <sheetView showGridLines="0" showRuler="0" view="pageLayout" topLeftCell="A30" zoomScale="115" zoomScaleNormal="100" zoomScalePageLayoutView="115" workbookViewId="0">
      <selection activeCell="B348" sqref="A348:B348"/>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567" t="s">
        <v>271</v>
      </c>
      <c r="D2" s="567"/>
      <c r="E2" s="567"/>
      <c r="F2" s="567"/>
      <c r="G2" s="567"/>
      <c r="H2" s="567"/>
      <c r="I2" s="567"/>
      <c r="J2" s="567"/>
      <c r="K2" s="567"/>
      <c r="L2" s="567"/>
    </row>
    <row r="3" spans="2:12" ht="13.75" customHeight="1">
      <c r="L3" s="31"/>
    </row>
    <row r="4" spans="2:12" ht="15.5" customHeight="1">
      <c r="C4" s="235" t="s">
        <v>200</v>
      </c>
      <c r="D4" s="236" t="s">
        <v>8</v>
      </c>
      <c r="E4" s="236"/>
      <c r="F4" s="236" t="s">
        <v>9</v>
      </c>
      <c r="G4" s="265"/>
      <c r="H4" s="265" t="s">
        <v>10</v>
      </c>
      <c r="I4" s="266"/>
      <c r="J4" s="569" t="s">
        <v>11</v>
      </c>
      <c r="K4" s="570"/>
      <c r="L4" s="236" t="s">
        <v>12</v>
      </c>
    </row>
    <row r="5" spans="2:12" ht="16">
      <c r="C5" s="237">
        <v>29</v>
      </c>
      <c r="D5" s="568">
        <f>'Aktuelle data'!B8</f>
        <v>370581</v>
      </c>
      <c r="E5" s="568"/>
      <c r="F5" s="568">
        <f>'Aktuelle data'!C8</f>
        <v>374846</v>
      </c>
      <c r="G5" s="568"/>
      <c r="H5" s="568">
        <f>'Aktuelle data'!D8</f>
        <v>377797</v>
      </c>
      <c r="I5" s="568"/>
      <c r="J5" s="568">
        <f>'Aktuelle data'!E8</f>
        <v>382061</v>
      </c>
      <c r="K5" s="568"/>
      <c r="L5" s="198">
        <f>'Aktuelle data'!F8</f>
        <v>385014</v>
      </c>
    </row>
    <row r="6" spans="2:12" ht="16">
      <c r="C6" s="237">
        <v>30</v>
      </c>
      <c r="D6" s="568">
        <f>'Aktuelle data'!B9</f>
        <v>376791</v>
      </c>
      <c r="E6" s="568"/>
      <c r="F6" s="568">
        <f>'Aktuelle data'!C9</f>
        <v>380829</v>
      </c>
      <c r="G6" s="568"/>
      <c r="H6" s="568">
        <f>'Aktuelle data'!D9</f>
        <v>383626</v>
      </c>
      <c r="I6" s="568"/>
      <c r="J6" s="568">
        <f>'Aktuelle data'!E9</f>
        <v>387662</v>
      </c>
      <c r="K6" s="568"/>
      <c r="L6" s="198">
        <f>'Aktuelle data'!F9</f>
        <v>390458</v>
      </c>
    </row>
    <row r="7" spans="2:12" ht="16">
      <c r="C7" s="237">
        <v>31</v>
      </c>
      <c r="D7" s="568">
        <f>'Aktuelle data'!B10</f>
        <v>383141</v>
      </c>
      <c r="E7" s="568"/>
      <c r="F7" s="568">
        <f>'Aktuelle data'!C10</f>
        <v>386940</v>
      </c>
      <c r="G7" s="568"/>
      <c r="H7" s="568">
        <f>'Aktuelle data'!D10</f>
        <v>389569</v>
      </c>
      <c r="I7" s="568"/>
      <c r="J7" s="568">
        <f>'Aktuelle data'!E10</f>
        <v>393368</v>
      </c>
      <c r="K7" s="568"/>
      <c r="L7" s="198">
        <f>'Aktuelle data'!F10</f>
        <v>395996</v>
      </c>
    </row>
    <row r="8" spans="2:12" ht="16">
      <c r="C8" s="237">
        <v>32</v>
      </c>
      <c r="D8" s="568">
        <f>'Aktuelle data'!B11</f>
        <v>389633</v>
      </c>
      <c r="E8" s="568"/>
      <c r="F8" s="568">
        <f>'Aktuelle data'!C11</f>
        <v>393175</v>
      </c>
      <c r="G8" s="568"/>
      <c r="H8" s="568">
        <f>'Aktuelle data'!D11</f>
        <v>395626</v>
      </c>
      <c r="I8" s="568"/>
      <c r="J8" s="568">
        <f>'Aktuelle data'!E11</f>
        <v>399170</v>
      </c>
      <c r="K8" s="568"/>
      <c r="L8" s="198">
        <f>'Aktuelle data'!F11</f>
        <v>401623</v>
      </c>
    </row>
    <row r="9" spans="2:12" ht="16">
      <c r="C9" s="237">
        <v>33</v>
      </c>
      <c r="D9" s="568">
        <f>'Aktuelle data'!B12</f>
        <v>396266</v>
      </c>
      <c r="E9" s="568"/>
      <c r="F9" s="568">
        <f>'Aktuelle data'!C12</f>
        <v>399538</v>
      </c>
      <c r="G9" s="568"/>
      <c r="H9" s="568">
        <f>'Aktuelle data'!D12</f>
        <v>401802</v>
      </c>
      <c r="I9" s="568"/>
      <c r="J9" s="568">
        <f>'Aktuelle data'!E12</f>
        <v>405074</v>
      </c>
      <c r="K9" s="568"/>
      <c r="L9" s="198">
        <f>'Aktuelle data'!F12</f>
        <v>407337</v>
      </c>
    </row>
    <row r="10" spans="2:12" ht="16">
      <c r="C10" s="237">
        <v>34</v>
      </c>
      <c r="D10" s="568">
        <f>'Aktuelle data'!B13</f>
        <v>403053</v>
      </c>
      <c r="E10" s="568"/>
      <c r="F10" s="568">
        <f>'Aktuelle data'!C13</f>
        <v>406038</v>
      </c>
      <c r="G10" s="568"/>
      <c r="H10" s="568">
        <f>'Aktuelle data'!D13</f>
        <v>408102</v>
      </c>
      <c r="I10" s="568"/>
      <c r="J10" s="568">
        <f>'Aktuelle data'!E13</f>
        <v>411087</v>
      </c>
      <c r="K10" s="568"/>
      <c r="L10" s="198">
        <f>'Aktuelle data'!F13</f>
        <v>413153</v>
      </c>
    </row>
    <row r="11" spans="2:12" ht="16">
      <c r="C11" s="237">
        <v>35</v>
      </c>
      <c r="D11" s="568">
        <f>'Aktuelle data'!B14</f>
        <v>409982</v>
      </c>
      <c r="E11" s="568"/>
      <c r="F11" s="568">
        <f>'Aktuelle data'!C14</f>
        <v>412662</v>
      </c>
      <c r="G11" s="568"/>
      <c r="H11" s="568">
        <f>'Aktuelle data'!D14</f>
        <v>414517</v>
      </c>
      <c r="I11" s="568"/>
      <c r="J11" s="568">
        <f>'Aktuelle data'!E14</f>
        <v>417195</v>
      </c>
      <c r="K11" s="568"/>
      <c r="L11" s="198">
        <f>'Aktuelle data'!F14</f>
        <v>419051</v>
      </c>
    </row>
    <row r="12" spans="2:12" ht="16">
      <c r="C12" s="237">
        <v>36</v>
      </c>
      <c r="D12" s="568">
        <f>'Aktuelle data'!B15</f>
        <v>417070</v>
      </c>
      <c r="E12" s="568"/>
      <c r="F12" s="568">
        <f>'Aktuelle data'!C15</f>
        <v>419428</v>
      </c>
      <c r="G12" s="568"/>
      <c r="H12" s="568">
        <f>'Aktuelle data'!D15</f>
        <v>421058</v>
      </c>
      <c r="I12" s="568"/>
      <c r="J12" s="568">
        <f>'Aktuelle data'!E15</f>
        <v>423414</v>
      </c>
      <c r="K12" s="568"/>
      <c r="L12" s="198">
        <f>'Aktuelle data'!F15</f>
        <v>425046</v>
      </c>
    </row>
    <row r="13" spans="2:12" ht="16">
      <c r="C13" s="237">
        <v>37</v>
      </c>
      <c r="D13" s="568">
        <f>'Aktuelle data'!B16</f>
        <v>424312</v>
      </c>
      <c r="E13" s="568"/>
      <c r="F13" s="568">
        <f>'Aktuelle data'!C16</f>
        <v>426327</v>
      </c>
      <c r="G13" s="568"/>
      <c r="H13" s="568">
        <f>'Aktuelle data'!D16</f>
        <v>427723</v>
      </c>
      <c r="I13" s="568"/>
      <c r="J13" s="568">
        <f>'Aktuelle data'!E16</f>
        <v>429738</v>
      </c>
      <c r="K13" s="568"/>
      <c r="L13" s="198">
        <f>'Aktuelle data'!F16</f>
        <v>431132</v>
      </c>
    </row>
    <row r="14" spans="2:12" ht="16">
      <c r="C14" s="237">
        <v>38</v>
      </c>
      <c r="D14" s="568">
        <f>'Aktuelle data'!B17</f>
        <v>432000</v>
      </c>
      <c r="E14" s="568"/>
      <c r="F14" s="568">
        <f>'Aktuelle data'!C17</f>
        <v>433686</v>
      </c>
      <c r="G14" s="568"/>
      <c r="H14" s="568">
        <f>'Aktuelle data'!D17</f>
        <v>434855</v>
      </c>
      <c r="I14" s="568"/>
      <c r="J14" s="568">
        <f>'Aktuelle data'!E17</f>
        <v>436541</v>
      </c>
      <c r="K14" s="568"/>
      <c r="L14" s="198">
        <f>'Aktuelle data'!F17</f>
        <v>437711</v>
      </c>
    </row>
    <row r="15" spans="2:12" ht="16">
      <c r="C15" s="237">
        <v>39</v>
      </c>
      <c r="D15" s="568">
        <f>'Aktuelle data'!B18</f>
        <v>439718</v>
      </c>
      <c r="E15" s="568"/>
      <c r="F15" s="568">
        <f>'Aktuelle data'!C18</f>
        <v>441016</v>
      </c>
      <c r="G15" s="568"/>
      <c r="H15" s="568">
        <f>'Aktuelle data'!D18</f>
        <v>441916</v>
      </c>
      <c r="I15" s="568"/>
      <c r="J15" s="568">
        <f>'Aktuelle data'!E18</f>
        <v>443214</v>
      </c>
      <c r="K15" s="568"/>
      <c r="L15" s="198">
        <f>'Aktuelle data'!F18</f>
        <v>444115</v>
      </c>
    </row>
    <row r="16" spans="2:12" ht="16">
      <c r="C16" s="237">
        <v>40</v>
      </c>
      <c r="D16" s="568">
        <f>'Aktuelle data'!B19</f>
        <v>447611</v>
      </c>
      <c r="E16" s="568"/>
      <c r="F16" s="568">
        <f>'Aktuelle data'!C19</f>
        <v>448499</v>
      </c>
      <c r="G16" s="568"/>
      <c r="H16" s="568">
        <f>'Aktuelle data'!D19</f>
        <v>449115</v>
      </c>
      <c r="I16" s="568"/>
      <c r="J16" s="568">
        <f>'Aktuelle data'!E19</f>
        <v>450004</v>
      </c>
      <c r="K16" s="568"/>
      <c r="L16" s="198">
        <f>'Aktuelle data'!F19</f>
        <v>450620</v>
      </c>
    </row>
    <row r="17" spans="3:12" ht="16">
      <c r="C17" s="237">
        <v>41</v>
      </c>
      <c r="D17" s="568">
        <f>'Aktuelle data'!B20</f>
        <v>455675</v>
      </c>
      <c r="E17" s="568"/>
      <c r="F17" s="568">
        <f>'Aktuelle data'!C20</f>
        <v>456130</v>
      </c>
      <c r="G17" s="568"/>
      <c r="H17" s="568">
        <f>'Aktuelle data'!D20</f>
        <v>456448</v>
      </c>
      <c r="I17" s="568"/>
      <c r="J17" s="568">
        <f>'Aktuelle data'!E20</f>
        <v>456901</v>
      </c>
      <c r="K17" s="568"/>
      <c r="L17" s="198">
        <f>'Aktuelle data'!F20</f>
        <v>457219</v>
      </c>
    </row>
    <row r="18" spans="3:12" ht="16">
      <c r="C18" s="237">
        <v>42</v>
      </c>
      <c r="D18" s="568">
        <f>'Aktuelle data'!B21</f>
        <v>463914</v>
      </c>
      <c r="E18" s="568"/>
      <c r="F18" s="568">
        <f>'Aktuelle data'!C21</f>
        <v>463914</v>
      </c>
      <c r="G18" s="568"/>
      <c r="H18" s="568">
        <f>'Aktuelle data'!D21</f>
        <v>463914</v>
      </c>
      <c r="I18" s="568"/>
      <c r="J18" s="568">
        <f>'Aktuelle data'!E21</f>
        <v>463914</v>
      </c>
      <c r="K18" s="568"/>
      <c r="L18" s="198">
        <f>'Aktuelle data'!F21</f>
        <v>463914</v>
      </c>
    </row>
    <row r="19" spans="3:12" ht="16">
      <c r="C19" s="237">
        <v>43</v>
      </c>
      <c r="D19" s="568">
        <f>'Aktuelle data'!B22</f>
        <v>474224</v>
      </c>
      <c r="E19" s="568"/>
      <c r="F19" s="568">
        <f>'Aktuelle data'!C22</f>
        <v>474224</v>
      </c>
      <c r="G19" s="568"/>
      <c r="H19" s="568">
        <f>'Aktuelle data'!D22</f>
        <v>474224</v>
      </c>
      <c r="I19" s="568"/>
      <c r="J19" s="568">
        <f>'Aktuelle data'!E22</f>
        <v>474224</v>
      </c>
      <c r="K19" s="568"/>
      <c r="L19" s="198">
        <f>'Aktuelle data'!F22</f>
        <v>474224</v>
      </c>
    </row>
    <row r="20" spans="3:12" ht="16">
      <c r="C20" s="237">
        <v>44</v>
      </c>
      <c r="D20" s="568">
        <f>'Aktuelle data'!B23</f>
        <v>484819</v>
      </c>
      <c r="E20" s="568"/>
      <c r="F20" s="568">
        <f>'Aktuelle data'!C23</f>
        <v>484819</v>
      </c>
      <c r="G20" s="568"/>
      <c r="H20" s="568">
        <f>'Aktuelle data'!D23</f>
        <v>484819</v>
      </c>
      <c r="I20" s="568"/>
      <c r="J20" s="568">
        <f>'Aktuelle data'!E23</f>
        <v>484819</v>
      </c>
      <c r="K20" s="568"/>
      <c r="L20" s="198">
        <f>'Aktuelle data'!F23</f>
        <v>484819</v>
      </c>
    </row>
    <row r="21" spans="3:12" ht="16">
      <c r="C21" s="237">
        <v>45</v>
      </c>
      <c r="D21" s="568">
        <f>'Aktuelle data'!B24</f>
        <v>495705</v>
      </c>
      <c r="E21" s="568"/>
      <c r="F21" s="568">
        <f>'Aktuelle data'!C24</f>
        <v>495705</v>
      </c>
      <c r="G21" s="568"/>
      <c r="H21" s="568">
        <f>'Aktuelle data'!D24</f>
        <v>495705</v>
      </c>
      <c r="I21" s="568"/>
      <c r="J21" s="568">
        <f>'Aktuelle data'!E24</f>
        <v>495705</v>
      </c>
      <c r="K21" s="568"/>
      <c r="L21" s="198">
        <f>'Aktuelle data'!F24</f>
        <v>495705</v>
      </c>
    </row>
    <row r="22" spans="3:12" ht="16">
      <c r="C22" s="237">
        <v>46</v>
      </c>
      <c r="D22" s="568">
        <f>'Aktuelle data'!B25</f>
        <v>506890</v>
      </c>
      <c r="E22" s="568"/>
      <c r="F22" s="568">
        <f>'Aktuelle data'!C25</f>
        <v>506890</v>
      </c>
      <c r="G22" s="568"/>
      <c r="H22" s="568">
        <f>'Aktuelle data'!D25</f>
        <v>506890</v>
      </c>
      <c r="I22" s="568"/>
      <c r="J22" s="568">
        <f>'Aktuelle data'!E25</f>
        <v>506890</v>
      </c>
      <c r="K22" s="568"/>
      <c r="L22" s="198">
        <f>'Aktuelle data'!F25</f>
        <v>506890</v>
      </c>
    </row>
    <row r="23" spans="3:12" ht="16">
      <c r="C23" s="237">
        <v>47</v>
      </c>
      <c r="D23" s="568">
        <f>'Aktuelle data'!B26</f>
        <v>515913</v>
      </c>
      <c r="E23" s="568"/>
      <c r="F23" s="568">
        <f>'Aktuelle data'!C26</f>
        <v>515913</v>
      </c>
      <c r="G23" s="568"/>
      <c r="H23" s="568">
        <f>'Aktuelle data'!D26</f>
        <v>515913</v>
      </c>
      <c r="I23" s="568"/>
      <c r="J23" s="568">
        <f>'Aktuelle data'!E26</f>
        <v>515913</v>
      </c>
      <c r="K23" s="568"/>
      <c r="L23" s="198">
        <f>'Aktuelle data'!F26</f>
        <v>515913</v>
      </c>
    </row>
    <row r="24" spans="3:12" ht="16">
      <c r="C24" s="237">
        <v>48</v>
      </c>
      <c r="D24" s="568">
        <f>'Aktuelle data'!B27</f>
        <v>539628</v>
      </c>
      <c r="E24" s="568"/>
      <c r="F24" s="568">
        <f>'Aktuelle data'!C27</f>
        <v>539628</v>
      </c>
      <c r="G24" s="568"/>
      <c r="H24" s="568">
        <f>'Aktuelle data'!D27</f>
        <v>539628</v>
      </c>
      <c r="I24" s="568"/>
      <c r="J24" s="568">
        <f>'Aktuelle data'!E27</f>
        <v>539628</v>
      </c>
      <c r="K24" s="568"/>
      <c r="L24" s="198">
        <f>'Aktuelle data'!F27</f>
        <v>539628</v>
      </c>
    </row>
    <row r="25" spans="3:12" ht="16">
      <c r="C25" s="237">
        <v>49</v>
      </c>
      <c r="D25" s="568">
        <f>'Aktuelle data'!B28</f>
        <v>575843</v>
      </c>
      <c r="E25" s="568"/>
      <c r="F25" s="568">
        <f>'Aktuelle data'!C28</f>
        <v>575843</v>
      </c>
      <c r="G25" s="568"/>
      <c r="H25" s="568">
        <f>'Aktuelle data'!D28</f>
        <v>575843</v>
      </c>
      <c r="I25" s="568"/>
      <c r="J25" s="568">
        <f>'Aktuelle data'!E28</f>
        <v>575843</v>
      </c>
      <c r="K25" s="568"/>
      <c r="L25" s="198">
        <f>'Aktuelle data'!F28</f>
        <v>575843</v>
      </c>
    </row>
    <row r="26" spans="3:12" ht="16">
      <c r="C26" s="237">
        <v>50</v>
      </c>
      <c r="D26" s="568">
        <f>'Aktuelle data'!B29</f>
        <v>616041</v>
      </c>
      <c r="E26" s="568"/>
      <c r="F26" s="568">
        <f>'Aktuelle data'!C29</f>
        <v>616041</v>
      </c>
      <c r="G26" s="568"/>
      <c r="H26" s="568">
        <f>'Aktuelle data'!D29</f>
        <v>616041</v>
      </c>
      <c r="I26" s="568"/>
      <c r="J26" s="568">
        <f>'Aktuelle data'!E29</f>
        <v>616041</v>
      </c>
      <c r="K26" s="568"/>
      <c r="L26" s="198">
        <f>'Aktuelle data'!F29</f>
        <v>616041</v>
      </c>
    </row>
    <row r="27" spans="3:12" ht="16">
      <c r="C27" s="237">
        <v>51</v>
      </c>
      <c r="D27" s="568">
        <f>'Aktuelle data'!B30</f>
        <v>680462</v>
      </c>
      <c r="E27" s="568"/>
      <c r="F27" s="568">
        <f>'Aktuelle data'!C30</f>
        <v>680462</v>
      </c>
      <c r="G27" s="568"/>
      <c r="H27" s="568">
        <f>'Aktuelle data'!D30</f>
        <v>680462</v>
      </c>
      <c r="I27" s="568"/>
      <c r="J27" s="568">
        <f>'Aktuelle data'!E30</f>
        <v>680462</v>
      </c>
      <c r="K27" s="568"/>
      <c r="L27" s="198">
        <f>'Aktuelle data'!F30</f>
        <v>680462</v>
      </c>
    </row>
    <row r="28" spans="3:12" ht="16">
      <c r="C28" s="237">
        <v>52</v>
      </c>
      <c r="D28" s="568">
        <f>'Aktuelle data'!B31</f>
        <v>774281</v>
      </c>
      <c r="E28" s="568"/>
      <c r="F28" s="568">
        <f>'Aktuelle data'!C31</f>
        <v>774281</v>
      </c>
      <c r="G28" s="568"/>
      <c r="H28" s="568">
        <f>'Aktuelle data'!D31</f>
        <v>774281</v>
      </c>
      <c r="I28" s="568"/>
      <c r="J28" s="568">
        <f>'Aktuelle data'!E31</f>
        <v>774281</v>
      </c>
      <c r="K28" s="568"/>
      <c r="L28" s="198">
        <f>'Aktuelle data'!F31</f>
        <v>774281</v>
      </c>
    </row>
    <row r="29" spans="3:12" ht="16">
      <c r="C29" s="237">
        <v>53</v>
      </c>
      <c r="D29" s="568">
        <f>'Aktuelle data'!B32</f>
        <v>850132</v>
      </c>
      <c r="E29" s="568"/>
      <c r="F29" s="568">
        <f>'Aktuelle data'!C32</f>
        <v>850132</v>
      </c>
      <c r="G29" s="568"/>
      <c r="H29" s="568">
        <f>'Aktuelle data'!D32</f>
        <v>850132</v>
      </c>
      <c r="I29" s="568"/>
      <c r="J29" s="568">
        <f>'Aktuelle data'!E32</f>
        <v>850132</v>
      </c>
      <c r="K29" s="568"/>
      <c r="L29" s="198">
        <f>'Aktuelle data'!F32</f>
        <v>850132</v>
      </c>
    </row>
    <row r="30" spans="3:12" ht="16">
      <c r="C30" s="237">
        <v>54</v>
      </c>
      <c r="D30" s="568">
        <f>'Aktuelle data'!B33</f>
        <v>951252</v>
      </c>
      <c r="E30" s="568"/>
      <c r="F30" s="568">
        <f>'Aktuelle data'!C33</f>
        <v>951252</v>
      </c>
      <c r="G30" s="568"/>
      <c r="H30" s="568">
        <f>'Aktuelle data'!D33</f>
        <v>951252</v>
      </c>
      <c r="I30" s="568"/>
      <c r="J30" s="568">
        <f>'Aktuelle data'!E33</f>
        <v>951252</v>
      </c>
      <c r="K30" s="568"/>
      <c r="L30" s="198">
        <f>'Aktuelle data'!F33</f>
        <v>951252</v>
      </c>
    </row>
    <row r="31" spans="3:12" ht="16">
      <c r="C31" s="237">
        <v>55</v>
      </c>
      <c r="D31" s="568">
        <f>'Aktuelle data'!B34</f>
        <v>1072800</v>
      </c>
      <c r="E31" s="568"/>
      <c r="F31" s="568">
        <f>'Aktuelle data'!C34</f>
        <v>1072800</v>
      </c>
      <c r="G31" s="568"/>
      <c r="H31" s="568">
        <f>'Aktuelle data'!D34</f>
        <v>1072800</v>
      </c>
      <c r="I31" s="568"/>
      <c r="J31" s="568">
        <f>'Aktuelle data'!E34</f>
        <v>1072800</v>
      </c>
      <c r="K31" s="568"/>
      <c r="L31" s="198">
        <f>'Aktuelle data'!F34</f>
        <v>1072800</v>
      </c>
    </row>
    <row r="32" spans="3:12" ht="15.5" customHeight="1">
      <c r="C32" s="237" t="s">
        <v>13</v>
      </c>
      <c r="D32" s="568">
        <f>'Aktuelle data'!B35</f>
        <v>1209098</v>
      </c>
      <c r="E32" s="568"/>
      <c r="F32" s="568">
        <f>'Aktuelle data'!C35</f>
        <v>1209098</v>
      </c>
      <c r="G32" s="568"/>
      <c r="H32" s="568">
        <f>'Aktuelle data'!D35</f>
        <v>1209098</v>
      </c>
      <c r="I32" s="568"/>
      <c r="J32" s="568">
        <f>'Aktuelle data'!E35</f>
        <v>1209098</v>
      </c>
      <c r="K32" s="568"/>
      <c r="L32" s="198">
        <f>'Aktuelle data'!F35</f>
        <v>1209098</v>
      </c>
    </row>
    <row r="34" spans="2:12">
      <c r="B34" s="32"/>
    </row>
    <row r="35" spans="2:12">
      <c r="B35" s="559" t="s">
        <v>196</v>
      </c>
      <c r="C35" s="559"/>
      <c r="D35" s="559"/>
      <c r="E35" s="559"/>
      <c r="F35" s="559"/>
      <c r="G35" s="559"/>
      <c r="H35" s="559"/>
      <c r="I35" s="559"/>
      <c r="J35" s="559"/>
      <c r="K35" s="33"/>
      <c r="L35" s="11">
        <f>1500*'Aktuelle data'!C37</f>
        <v>2404.3815</v>
      </c>
    </row>
    <row r="36" spans="2:12">
      <c r="B36" s="559" t="s">
        <v>197</v>
      </c>
      <c r="C36" s="559"/>
      <c r="D36" s="559"/>
      <c r="E36" s="559"/>
      <c r="F36" s="559"/>
      <c r="G36" s="559"/>
      <c r="H36" s="559"/>
      <c r="I36" s="559"/>
      <c r="J36" s="559"/>
      <c r="K36" s="33"/>
      <c r="L36" s="11">
        <f>L35/12</f>
        <v>200.36512500000001</v>
      </c>
    </row>
    <row r="37" spans="2:12">
      <c r="B37" s="552" t="s">
        <v>198</v>
      </c>
      <c r="C37" s="552"/>
      <c r="D37" s="552"/>
      <c r="E37" s="552"/>
      <c r="F37" s="552"/>
      <c r="G37" s="552"/>
      <c r="H37" s="552"/>
      <c r="I37" s="552"/>
      <c r="J37" s="552"/>
    </row>
    <row r="65" spans="3:12" ht="21">
      <c r="C65" s="567" t="s">
        <v>199</v>
      </c>
      <c r="D65" s="567"/>
      <c r="E65" s="567"/>
      <c r="F65" s="567"/>
      <c r="G65" s="567"/>
      <c r="H65" s="567"/>
      <c r="I65" s="567"/>
      <c r="J65" s="567"/>
      <c r="K65" s="567"/>
      <c r="L65" s="567"/>
    </row>
    <row r="66" spans="3:12" ht="16" thickBot="1">
      <c r="C66" s="34"/>
      <c r="D66" s="34"/>
      <c r="E66" s="34"/>
      <c r="F66" s="34"/>
      <c r="G66" s="34"/>
      <c r="H66" s="34"/>
      <c r="I66" s="34"/>
      <c r="J66" s="34"/>
      <c r="K66" s="34"/>
      <c r="L66" s="34"/>
    </row>
    <row r="67" spans="3:12" ht="16">
      <c r="C67" s="240" t="s">
        <v>200</v>
      </c>
      <c r="D67" s="241" t="s">
        <v>8</v>
      </c>
      <c r="E67" s="241"/>
      <c r="F67" s="241" t="s">
        <v>9</v>
      </c>
      <c r="G67" s="241"/>
      <c r="H67" s="241" t="s">
        <v>10</v>
      </c>
      <c r="I67" s="241"/>
      <c r="J67" s="562" t="s">
        <v>11</v>
      </c>
      <c r="K67" s="562"/>
      <c r="L67" s="242" t="s">
        <v>12</v>
      </c>
    </row>
    <row r="68" spans="3:12" ht="16">
      <c r="C68" s="238">
        <v>29</v>
      </c>
      <c r="D68" s="565">
        <f>'Aktuelle data'!I8</f>
        <v>30881.75</v>
      </c>
      <c r="E68" s="565"/>
      <c r="F68" s="565">
        <f>'Aktuelle data'!J8</f>
        <v>31237.166666666668</v>
      </c>
      <c r="G68" s="565"/>
      <c r="H68" s="565">
        <f>'Aktuelle data'!K8</f>
        <v>31483.083333333332</v>
      </c>
      <c r="I68" s="565"/>
      <c r="J68" s="566">
        <f>'Aktuelle data'!L8</f>
        <v>31838.416666666668</v>
      </c>
      <c r="K68" s="566"/>
      <c r="L68" s="201">
        <f>'Aktuelle data'!M8</f>
        <v>32084.5</v>
      </c>
    </row>
    <row r="69" spans="3:12" ht="16">
      <c r="C69" s="238">
        <v>30</v>
      </c>
      <c r="D69" s="565">
        <f>'Aktuelle data'!I9</f>
        <v>31399.25</v>
      </c>
      <c r="E69" s="565"/>
      <c r="F69" s="565">
        <f>'Aktuelle data'!J9</f>
        <v>31735.75</v>
      </c>
      <c r="G69" s="565"/>
      <c r="H69" s="565">
        <f>'Aktuelle data'!K9</f>
        <v>31968.833333333332</v>
      </c>
      <c r="I69" s="565"/>
      <c r="J69" s="566">
        <f>'Aktuelle data'!L9</f>
        <v>32305.166666666668</v>
      </c>
      <c r="K69" s="566"/>
      <c r="L69" s="201">
        <f>'Aktuelle data'!M9</f>
        <v>32538.166666666668</v>
      </c>
    </row>
    <row r="70" spans="3:12" ht="16">
      <c r="C70" s="238">
        <v>31</v>
      </c>
      <c r="D70" s="565">
        <f>'Aktuelle data'!I10</f>
        <v>31928.416666666668</v>
      </c>
      <c r="E70" s="565"/>
      <c r="F70" s="565">
        <f>'Aktuelle data'!J10</f>
        <v>32245</v>
      </c>
      <c r="G70" s="565"/>
      <c r="H70" s="565">
        <f>'Aktuelle data'!K10</f>
        <v>32464.083333333332</v>
      </c>
      <c r="I70" s="565"/>
      <c r="J70" s="566">
        <f>'Aktuelle data'!L10</f>
        <v>32780.666666666664</v>
      </c>
      <c r="K70" s="566"/>
      <c r="L70" s="201">
        <f>'Aktuelle data'!M10</f>
        <v>32999.666666666664</v>
      </c>
    </row>
    <row r="71" spans="3:12" ht="16">
      <c r="C71" s="238">
        <v>32</v>
      </c>
      <c r="D71" s="565">
        <f>'Aktuelle data'!I11</f>
        <v>32469.416666666668</v>
      </c>
      <c r="E71" s="565"/>
      <c r="F71" s="565">
        <f>'Aktuelle data'!J11</f>
        <v>32764.583333333332</v>
      </c>
      <c r="G71" s="565"/>
      <c r="H71" s="565">
        <f>'Aktuelle data'!K11</f>
        <v>32968.833333333336</v>
      </c>
      <c r="I71" s="565"/>
      <c r="J71" s="566">
        <f>'Aktuelle data'!L11</f>
        <v>33264.166666666664</v>
      </c>
      <c r="K71" s="566"/>
      <c r="L71" s="201">
        <f>'Aktuelle data'!M11</f>
        <v>33468.583333333336</v>
      </c>
    </row>
    <row r="72" spans="3:12" ht="16">
      <c r="C72" s="238">
        <v>33</v>
      </c>
      <c r="D72" s="565">
        <f>'Aktuelle data'!I12</f>
        <v>33022.166666666664</v>
      </c>
      <c r="E72" s="565"/>
      <c r="F72" s="565">
        <f>'Aktuelle data'!J12</f>
        <v>33294.833333333336</v>
      </c>
      <c r="G72" s="565"/>
      <c r="H72" s="565">
        <f>'Aktuelle data'!K12</f>
        <v>33483.5</v>
      </c>
      <c r="I72" s="565"/>
      <c r="J72" s="566">
        <f>'Aktuelle data'!L12</f>
        <v>33756.166666666664</v>
      </c>
      <c r="K72" s="566"/>
      <c r="L72" s="201">
        <f>'Aktuelle data'!M12</f>
        <v>33944.75</v>
      </c>
    </row>
    <row r="73" spans="3:12" ht="16">
      <c r="C73" s="238">
        <v>34</v>
      </c>
      <c r="D73" s="565">
        <f>'Aktuelle data'!I13</f>
        <v>33587.75</v>
      </c>
      <c r="E73" s="565"/>
      <c r="F73" s="565">
        <f>'Aktuelle data'!J13</f>
        <v>33836.5</v>
      </c>
      <c r="G73" s="565"/>
      <c r="H73" s="565">
        <f>'Aktuelle data'!K13</f>
        <v>34008.5</v>
      </c>
      <c r="I73" s="565"/>
      <c r="J73" s="566">
        <f>'Aktuelle data'!L13</f>
        <v>34257.25</v>
      </c>
      <c r="K73" s="566"/>
      <c r="L73" s="201">
        <f>'Aktuelle data'!M13</f>
        <v>34429.416666666664</v>
      </c>
    </row>
    <row r="74" spans="3:12" ht="16">
      <c r="C74" s="238">
        <v>35</v>
      </c>
      <c r="D74" s="565">
        <f>'Aktuelle data'!I14</f>
        <v>34165.166666666664</v>
      </c>
      <c r="E74" s="565"/>
      <c r="F74" s="565">
        <f>'Aktuelle data'!J14</f>
        <v>34388.5</v>
      </c>
      <c r="G74" s="565"/>
      <c r="H74" s="565">
        <f>'Aktuelle data'!K14</f>
        <v>34543.083333333336</v>
      </c>
      <c r="I74" s="565"/>
      <c r="J74" s="566">
        <f>'Aktuelle data'!L14</f>
        <v>34766.25</v>
      </c>
      <c r="K74" s="566"/>
      <c r="L74" s="201">
        <f>'Aktuelle data'!M14</f>
        <v>34920.916666666664</v>
      </c>
    </row>
    <row r="75" spans="3:12" ht="16">
      <c r="C75" s="238">
        <v>36</v>
      </c>
      <c r="D75" s="565">
        <f>'Aktuelle data'!I15</f>
        <v>34755.833333333336</v>
      </c>
      <c r="E75" s="565"/>
      <c r="F75" s="565">
        <f>'Aktuelle data'!J15</f>
        <v>34952.333333333336</v>
      </c>
      <c r="G75" s="565"/>
      <c r="H75" s="565">
        <f>'Aktuelle data'!K15</f>
        <v>35088.166666666664</v>
      </c>
      <c r="I75" s="565"/>
      <c r="J75" s="566">
        <f>'Aktuelle data'!L15</f>
        <v>35284.5</v>
      </c>
      <c r="K75" s="566"/>
      <c r="L75" s="201">
        <f>'Aktuelle data'!M15</f>
        <v>35420.5</v>
      </c>
    </row>
    <row r="76" spans="3:12" ht="16">
      <c r="C76" s="238">
        <v>37</v>
      </c>
      <c r="D76" s="565">
        <f>'Aktuelle data'!I16</f>
        <v>35359.333333333336</v>
      </c>
      <c r="E76" s="565"/>
      <c r="F76" s="565">
        <f>'Aktuelle data'!J16</f>
        <v>35527.25</v>
      </c>
      <c r="G76" s="565"/>
      <c r="H76" s="565">
        <f>'Aktuelle data'!K16</f>
        <v>35643.583333333336</v>
      </c>
      <c r="I76" s="565"/>
      <c r="J76" s="566">
        <f>'Aktuelle data'!L16</f>
        <v>35811.5</v>
      </c>
      <c r="K76" s="566"/>
      <c r="L76" s="201">
        <f>'Aktuelle data'!M16</f>
        <v>35927.666666666664</v>
      </c>
    </row>
    <row r="77" spans="3:12" ht="16">
      <c r="C77" s="238">
        <v>38</v>
      </c>
      <c r="D77" s="565">
        <f>'Aktuelle data'!I17</f>
        <v>36000</v>
      </c>
      <c r="E77" s="565"/>
      <c r="F77" s="565">
        <f>'Aktuelle data'!J17</f>
        <v>36140.5</v>
      </c>
      <c r="G77" s="565"/>
      <c r="H77" s="565">
        <f>'Aktuelle data'!K17</f>
        <v>36237.916666666664</v>
      </c>
      <c r="I77" s="565"/>
      <c r="J77" s="566">
        <f>'Aktuelle data'!L17</f>
        <v>36378.416666666664</v>
      </c>
      <c r="K77" s="566"/>
      <c r="L77" s="201">
        <f>'Aktuelle data'!M17</f>
        <v>36475.916666666664</v>
      </c>
    </row>
    <row r="78" spans="3:12" ht="16">
      <c r="C78" s="238">
        <v>39</v>
      </c>
      <c r="D78" s="565">
        <f>'Aktuelle data'!I18</f>
        <v>36643.166666666664</v>
      </c>
      <c r="E78" s="565"/>
      <c r="F78" s="565">
        <f>'Aktuelle data'!J18</f>
        <v>36751.333333333336</v>
      </c>
      <c r="G78" s="565"/>
      <c r="H78" s="565">
        <f>'Aktuelle data'!K18</f>
        <v>36826.333333333336</v>
      </c>
      <c r="I78" s="565"/>
      <c r="J78" s="566">
        <f>'Aktuelle data'!L18</f>
        <v>36934.5</v>
      </c>
      <c r="K78" s="566"/>
      <c r="L78" s="201">
        <f>'Aktuelle data'!M18</f>
        <v>37009.583333333336</v>
      </c>
    </row>
    <row r="79" spans="3:12" ht="16">
      <c r="C79" s="238">
        <v>40</v>
      </c>
      <c r="D79" s="565">
        <f>'Aktuelle data'!I19</f>
        <v>37300.916666666664</v>
      </c>
      <c r="E79" s="565"/>
      <c r="F79" s="565">
        <f>'Aktuelle data'!J19</f>
        <v>37374.916666666664</v>
      </c>
      <c r="G79" s="565"/>
      <c r="H79" s="565">
        <f>'Aktuelle data'!K19</f>
        <v>37426.25</v>
      </c>
      <c r="I79" s="565"/>
      <c r="J79" s="566">
        <f>'Aktuelle data'!L19</f>
        <v>37500.333333333336</v>
      </c>
      <c r="K79" s="566"/>
      <c r="L79" s="201">
        <f>'Aktuelle data'!M19</f>
        <v>37551.666666666664</v>
      </c>
    </row>
    <row r="80" spans="3:12" ht="16">
      <c r="C80" s="238">
        <v>41</v>
      </c>
      <c r="D80" s="565">
        <f>'Aktuelle data'!I20</f>
        <v>37972.916666666664</v>
      </c>
      <c r="E80" s="565"/>
      <c r="F80" s="565">
        <f>'Aktuelle data'!J20</f>
        <v>38010.833333333336</v>
      </c>
      <c r="G80" s="565"/>
      <c r="H80" s="565">
        <f>'Aktuelle data'!K20</f>
        <v>38037.333333333336</v>
      </c>
      <c r="I80" s="565"/>
      <c r="J80" s="566">
        <f>'Aktuelle data'!L20</f>
        <v>38075.083333333336</v>
      </c>
      <c r="K80" s="566"/>
      <c r="L80" s="201">
        <f>'Aktuelle data'!M20</f>
        <v>38101.583333333336</v>
      </c>
    </row>
    <row r="81" spans="3:12" ht="16">
      <c r="C81" s="238">
        <v>42</v>
      </c>
      <c r="D81" s="565">
        <f>'Aktuelle data'!I21</f>
        <v>38659.5</v>
      </c>
      <c r="E81" s="565"/>
      <c r="F81" s="565">
        <f>'Aktuelle data'!J21</f>
        <v>38659.5</v>
      </c>
      <c r="G81" s="565"/>
      <c r="H81" s="565">
        <f>'Aktuelle data'!K21</f>
        <v>38659.5</v>
      </c>
      <c r="I81" s="565"/>
      <c r="J81" s="566">
        <f>'Aktuelle data'!L21</f>
        <v>38659.5</v>
      </c>
      <c r="K81" s="566"/>
      <c r="L81" s="201">
        <f>'Aktuelle data'!M21</f>
        <v>38659.5</v>
      </c>
    </row>
    <row r="82" spans="3:12" ht="16">
      <c r="C82" s="238">
        <v>43</v>
      </c>
      <c r="D82" s="565">
        <f>'Aktuelle data'!I22</f>
        <v>39518.666666666664</v>
      </c>
      <c r="E82" s="565"/>
      <c r="F82" s="565">
        <f>'Aktuelle data'!J22</f>
        <v>39518.666666666664</v>
      </c>
      <c r="G82" s="565"/>
      <c r="H82" s="565">
        <f>'Aktuelle data'!K22</f>
        <v>39518.666666666664</v>
      </c>
      <c r="I82" s="565"/>
      <c r="J82" s="566">
        <f>'Aktuelle data'!L22</f>
        <v>39518.666666666664</v>
      </c>
      <c r="K82" s="566"/>
      <c r="L82" s="201">
        <f>'Aktuelle data'!M22</f>
        <v>39518.666666666664</v>
      </c>
    </row>
    <row r="83" spans="3:12" ht="16">
      <c r="C83" s="238">
        <v>44</v>
      </c>
      <c r="D83" s="565">
        <f>'Aktuelle data'!I23</f>
        <v>40401.583333333336</v>
      </c>
      <c r="E83" s="565"/>
      <c r="F83" s="565">
        <f>'Aktuelle data'!J23</f>
        <v>40401.583333333336</v>
      </c>
      <c r="G83" s="565"/>
      <c r="H83" s="565">
        <f>'Aktuelle data'!K23</f>
        <v>40401.583333333336</v>
      </c>
      <c r="I83" s="565"/>
      <c r="J83" s="566">
        <f>'Aktuelle data'!L23</f>
        <v>40401.583333333336</v>
      </c>
      <c r="K83" s="566"/>
      <c r="L83" s="201">
        <f>'Aktuelle data'!M23</f>
        <v>40401.583333333336</v>
      </c>
    </row>
    <row r="84" spans="3:12" ht="16">
      <c r="C84" s="238">
        <v>45</v>
      </c>
      <c r="D84" s="565">
        <f>'Aktuelle data'!I24</f>
        <v>41308.75</v>
      </c>
      <c r="E84" s="565"/>
      <c r="F84" s="565">
        <f>'Aktuelle data'!J24</f>
        <v>41308.75</v>
      </c>
      <c r="G84" s="565"/>
      <c r="H84" s="565">
        <f>'Aktuelle data'!K24</f>
        <v>41308.75</v>
      </c>
      <c r="I84" s="565"/>
      <c r="J84" s="566">
        <f>'Aktuelle data'!L24</f>
        <v>41308.75</v>
      </c>
      <c r="K84" s="566"/>
      <c r="L84" s="201">
        <f>'Aktuelle data'!M24</f>
        <v>41308.75</v>
      </c>
    </row>
    <row r="85" spans="3:12" ht="16">
      <c r="C85" s="238">
        <v>46</v>
      </c>
      <c r="D85" s="565">
        <f>'Aktuelle data'!I25</f>
        <v>42240.833333333336</v>
      </c>
      <c r="E85" s="565"/>
      <c r="F85" s="565">
        <f>'Aktuelle data'!J25</f>
        <v>42240.833333333336</v>
      </c>
      <c r="G85" s="565"/>
      <c r="H85" s="565">
        <f>'Aktuelle data'!K25</f>
        <v>42240.833333333336</v>
      </c>
      <c r="I85" s="565"/>
      <c r="J85" s="566">
        <f>'Aktuelle data'!L25</f>
        <v>42240.833333333336</v>
      </c>
      <c r="K85" s="566"/>
      <c r="L85" s="201">
        <f>'Aktuelle data'!M25</f>
        <v>42240.833333333336</v>
      </c>
    </row>
    <row r="86" spans="3:12" ht="16">
      <c r="C86" s="238">
        <v>47</v>
      </c>
      <c r="D86" s="565">
        <f>'Aktuelle data'!I26</f>
        <v>42992.75</v>
      </c>
      <c r="E86" s="565"/>
      <c r="F86" s="565">
        <f>'Aktuelle data'!J26</f>
        <v>42992.75</v>
      </c>
      <c r="G86" s="565"/>
      <c r="H86" s="565">
        <f>'Aktuelle data'!K26</f>
        <v>42992.75</v>
      </c>
      <c r="I86" s="565"/>
      <c r="J86" s="566">
        <f>'Aktuelle data'!L26</f>
        <v>42992.75</v>
      </c>
      <c r="K86" s="566"/>
      <c r="L86" s="201">
        <f>'Aktuelle data'!M26</f>
        <v>42992.75</v>
      </c>
    </row>
    <row r="87" spans="3:12" ht="16">
      <c r="C87" s="238">
        <v>48</v>
      </c>
      <c r="D87" s="565">
        <f>'Aktuelle data'!I27</f>
        <v>44969</v>
      </c>
      <c r="E87" s="565"/>
      <c r="F87" s="565">
        <f>'Aktuelle data'!J27</f>
        <v>44969</v>
      </c>
      <c r="G87" s="565"/>
      <c r="H87" s="565">
        <f>'Aktuelle data'!K27</f>
        <v>44969</v>
      </c>
      <c r="I87" s="565"/>
      <c r="J87" s="566">
        <f>'Aktuelle data'!L27</f>
        <v>44969</v>
      </c>
      <c r="K87" s="566"/>
      <c r="L87" s="201">
        <f>'Aktuelle data'!M27</f>
        <v>44969</v>
      </c>
    </row>
    <row r="88" spans="3:12" ht="16">
      <c r="C88" s="238">
        <v>49</v>
      </c>
      <c r="D88" s="565">
        <f>'Aktuelle data'!I28</f>
        <v>47986.916666666664</v>
      </c>
      <c r="E88" s="565"/>
      <c r="F88" s="565">
        <f>'Aktuelle data'!J28</f>
        <v>47986.916666666664</v>
      </c>
      <c r="G88" s="565"/>
      <c r="H88" s="565">
        <f>'Aktuelle data'!K28</f>
        <v>47986.916666666664</v>
      </c>
      <c r="I88" s="565"/>
      <c r="J88" s="566">
        <f>'Aktuelle data'!L28</f>
        <v>47986.916666666664</v>
      </c>
      <c r="K88" s="566"/>
      <c r="L88" s="201">
        <f>'Aktuelle data'!M28</f>
        <v>47986.916666666664</v>
      </c>
    </row>
    <row r="89" spans="3:12" ht="16">
      <c r="C89" s="238">
        <v>50</v>
      </c>
      <c r="D89" s="565">
        <f>'Aktuelle data'!I29</f>
        <v>51336.75</v>
      </c>
      <c r="E89" s="565"/>
      <c r="F89" s="565">
        <f>'Aktuelle data'!J29</f>
        <v>51336.75</v>
      </c>
      <c r="G89" s="565"/>
      <c r="H89" s="565">
        <f>'Aktuelle data'!K29</f>
        <v>51336.75</v>
      </c>
      <c r="I89" s="565"/>
      <c r="J89" s="566">
        <f>'Aktuelle data'!L29</f>
        <v>51336.75</v>
      </c>
      <c r="K89" s="566"/>
      <c r="L89" s="201">
        <f>'Aktuelle data'!M29</f>
        <v>51336.75</v>
      </c>
    </row>
    <row r="90" spans="3:12" ht="16">
      <c r="C90" s="238">
        <v>51</v>
      </c>
      <c r="D90" s="565">
        <f>'Aktuelle data'!I30</f>
        <v>56705.166666666664</v>
      </c>
      <c r="E90" s="565"/>
      <c r="F90" s="565">
        <f>'Aktuelle data'!J30</f>
        <v>56705.166666666664</v>
      </c>
      <c r="G90" s="565"/>
      <c r="H90" s="565">
        <f>'Aktuelle data'!K30</f>
        <v>56705.166666666664</v>
      </c>
      <c r="I90" s="565"/>
      <c r="J90" s="566">
        <f>'Aktuelle data'!L30</f>
        <v>56705.166666666664</v>
      </c>
      <c r="K90" s="566"/>
      <c r="L90" s="201">
        <f>'Aktuelle data'!M30</f>
        <v>56705.166666666664</v>
      </c>
    </row>
    <row r="91" spans="3:12" ht="16">
      <c r="C91" s="238">
        <v>52</v>
      </c>
      <c r="D91" s="565">
        <f>'Aktuelle data'!I31</f>
        <v>64523.416666666664</v>
      </c>
      <c r="E91" s="565"/>
      <c r="F91" s="565">
        <f>'Aktuelle data'!J31</f>
        <v>64523.416666666664</v>
      </c>
      <c r="G91" s="565"/>
      <c r="H91" s="565">
        <f>'Aktuelle data'!K31</f>
        <v>64523.416666666664</v>
      </c>
      <c r="I91" s="565"/>
      <c r="J91" s="566">
        <f>'Aktuelle data'!L31</f>
        <v>64523.416666666664</v>
      </c>
      <c r="K91" s="566"/>
      <c r="L91" s="201">
        <f>'Aktuelle data'!M31</f>
        <v>64523.416666666664</v>
      </c>
    </row>
    <row r="92" spans="3:12" ht="16">
      <c r="C92" s="238">
        <v>53</v>
      </c>
      <c r="D92" s="565">
        <f>'Aktuelle data'!I32</f>
        <v>70844.333333333328</v>
      </c>
      <c r="E92" s="565"/>
      <c r="F92" s="565">
        <f>'Aktuelle data'!J32</f>
        <v>70844.333333333328</v>
      </c>
      <c r="G92" s="565"/>
      <c r="H92" s="565">
        <f>'Aktuelle data'!K32</f>
        <v>70844.333333333328</v>
      </c>
      <c r="I92" s="565"/>
      <c r="J92" s="566">
        <f>'Aktuelle data'!L32</f>
        <v>70844.333333333328</v>
      </c>
      <c r="K92" s="566"/>
      <c r="L92" s="201">
        <f>'Aktuelle data'!M32</f>
        <v>70844.333333333328</v>
      </c>
    </row>
    <row r="93" spans="3:12" ht="16">
      <c r="C93" s="238">
        <v>54</v>
      </c>
      <c r="D93" s="565">
        <f>'Aktuelle data'!I33</f>
        <v>79271</v>
      </c>
      <c r="E93" s="565"/>
      <c r="F93" s="565">
        <f>'Aktuelle data'!J33</f>
        <v>79271</v>
      </c>
      <c r="G93" s="565"/>
      <c r="H93" s="565">
        <f>'Aktuelle data'!K33</f>
        <v>79271</v>
      </c>
      <c r="I93" s="565"/>
      <c r="J93" s="566">
        <f>'Aktuelle data'!L33</f>
        <v>79271</v>
      </c>
      <c r="K93" s="566"/>
      <c r="L93" s="201">
        <f>'Aktuelle data'!M33</f>
        <v>79271</v>
      </c>
    </row>
    <row r="94" spans="3:12" ht="16">
      <c r="C94" s="238">
        <v>55</v>
      </c>
      <c r="D94" s="565">
        <f>'Aktuelle data'!I34</f>
        <v>89400</v>
      </c>
      <c r="E94" s="565"/>
      <c r="F94" s="565">
        <f>'Aktuelle data'!J34</f>
        <v>89400</v>
      </c>
      <c r="G94" s="565"/>
      <c r="H94" s="565">
        <f>'Aktuelle data'!K34</f>
        <v>89400</v>
      </c>
      <c r="I94" s="565"/>
      <c r="J94" s="566">
        <f>'Aktuelle data'!L34</f>
        <v>89400</v>
      </c>
      <c r="K94" s="566"/>
      <c r="L94" s="201">
        <f>'Aktuelle data'!M34</f>
        <v>89400</v>
      </c>
    </row>
    <row r="95" spans="3:12" ht="17" thickBot="1">
      <c r="C95" s="239" t="s">
        <v>13</v>
      </c>
      <c r="D95" s="563">
        <f>'Aktuelle data'!I35</f>
        <v>100758.16666666667</v>
      </c>
      <c r="E95" s="563"/>
      <c r="F95" s="563">
        <f>'Aktuelle data'!J35</f>
        <v>100758.16666666667</v>
      </c>
      <c r="G95" s="563"/>
      <c r="H95" s="563">
        <f>'Aktuelle data'!K35</f>
        <v>100758.16666666667</v>
      </c>
      <c r="I95" s="563"/>
      <c r="J95" s="564">
        <f>'Aktuelle data'!L35</f>
        <v>100758.16666666667</v>
      </c>
      <c r="K95" s="564"/>
      <c r="L95" s="202">
        <f>'Aktuelle data'!M35</f>
        <v>100758.16666666667</v>
      </c>
    </row>
    <row r="98" spans="2:12">
      <c r="B98" s="559" t="s">
        <v>196</v>
      </c>
      <c r="C98" s="559"/>
      <c r="D98" s="559"/>
      <c r="E98" s="559"/>
      <c r="F98" s="559"/>
      <c r="G98" s="559"/>
      <c r="H98" s="559"/>
      <c r="I98" s="559"/>
      <c r="J98" s="559"/>
      <c r="K98" s="33"/>
      <c r="L98" s="11">
        <f>1500*'Aktuelle data'!C37</f>
        <v>2404.3815</v>
      </c>
    </row>
    <row r="99" spans="2:12">
      <c r="B99" s="559" t="s">
        <v>197</v>
      </c>
      <c r="C99" s="559"/>
      <c r="D99" s="559"/>
      <c r="E99" s="559"/>
      <c r="F99" s="559"/>
      <c r="G99" s="559"/>
      <c r="H99" s="559"/>
      <c r="I99" s="559"/>
      <c r="J99" s="559"/>
      <c r="K99" s="33"/>
      <c r="L99" s="11">
        <f>L98/12</f>
        <v>200.36512500000001</v>
      </c>
    </row>
    <row r="100" spans="2:12">
      <c r="B100" s="552" t="s">
        <v>198</v>
      </c>
      <c r="C100" s="552"/>
      <c r="D100" s="552"/>
      <c r="E100" s="552"/>
      <c r="F100" s="552"/>
      <c r="G100" s="552"/>
      <c r="H100" s="552"/>
      <c r="I100" s="552"/>
      <c r="J100" s="552"/>
    </row>
    <row r="129" spans="3:12" ht="24">
      <c r="C129" s="561" t="s">
        <v>201</v>
      </c>
      <c r="D129" s="561"/>
      <c r="E129" s="561"/>
      <c r="F129" s="561"/>
      <c r="G129" s="561"/>
      <c r="H129" s="561"/>
      <c r="I129" s="561"/>
      <c r="J129" s="561"/>
      <c r="K129" s="561"/>
      <c r="L129" s="561"/>
    </row>
    <row r="130" spans="3:12" ht="24">
      <c r="C130" s="561" t="s">
        <v>202</v>
      </c>
      <c r="D130" s="561"/>
      <c r="E130" s="561"/>
      <c r="F130" s="561"/>
      <c r="G130" s="561"/>
      <c r="H130" s="561"/>
      <c r="I130" s="561"/>
      <c r="J130" s="561"/>
      <c r="K130" s="561"/>
      <c r="L130" s="561"/>
    </row>
    <row r="131" spans="3:12" ht="14.5" customHeight="1" thickBot="1">
      <c r="C131" s="36"/>
      <c r="D131" s="36"/>
      <c r="E131" s="36"/>
      <c r="F131" s="36"/>
      <c r="G131" s="36"/>
      <c r="H131" s="36"/>
      <c r="I131" s="36"/>
      <c r="J131" s="36"/>
      <c r="K131" s="36"/>
    </row>
    <row r="132" spans="3:12" ht="16">
      <c r="C132" s="240" t="s">
        <v>200</v>
      </c>
      <c r="D132" s="241" t="s">
        <v>8</v>
      </c>
      <c r="E132" s="241"/>
      <c r="F132" s="241" t="s">
        <v>9</v>
      </c>
      <c r="G132" s="241"/>
      <c r="H132" s="241" t="s">
        <v>10</v>
      </c>
      <c r="I132" s="241"/>
      <c r="J132" s="562" t="s">
        <v>11</v>
      </c>
      <c r="K132" s="562"/>
      <c r="L132" s="242" t="s">
        <v>12</v>
      </c>
    </row>
    <row r="133" spans="3:12" ht="16">
      <c r="C133" s="238">
        <v>29</v>
      </c>
      <c r="D133" s="560">
        <f>'Aktuelle data'!P8</f>
        <v>370581</v>
      </c>
      <c r="E133" s="560"/>
      <c r="F133" s="560">
        <f>'Aktuelle data'!Q8</f>
        <v>374846</v>
      </c>
      <c r="G133" s="560"/>
      <c r="H133" s="560">
        <f>'Aktuelle data'!R8</f>
        <v>377797</v>
      </c>
      <c r="I133" s="560"/>
      <c r="J133" s="560">
        <f>'Aktuelle data'!S8</f>
        <v>382061</v>
      </c>
      <c r="K133" s="560"/>
      <c r="L133" s="199">
        <f>'Aktuelle data'!T8</f>
        <v>385014</v>
      </c>
    </row>
    <row r="134" spans="3:12" ht="16">
      <c r="C134" s="238">
        <v>30</v>
      </c>
      <c r="D134" s="560">
        <f>'Aktuelle data'!P9</f>
        <v>376791</v>
      </c>
      <c r="E134" s="560"/>
      <c r="F134" s="560">
        <f>'Aktuelle data'!Q9</f>
        <v>380829</v>
      </c>
      <c r="G134" s="560"/>
      <c r="H134" s="560">
        <f>'Aktuelle data'!R9</f>
        <v>383626</v>
      </c>
      <c r="I134" s="560"/>
      <c r="J134" s="560">
        <f>'Aktuelle data'!S9</f>
        <v>387662</v>
      </c>
      <c r="K134" s="560"/>
      <c r="L134" s="199">
        <f>'Aktuelle data'!T9</f>
        <v>390458</v>
      </c>
    </row>
    <row r="135" spans="3:12" ht="16">
      <c r="C135" s="238">
        <v>31</v>
      </c>
      <c r="D135" s="560">
        <f>'Aktuelle data'!P10</f>
        <v>383141</v>
      </c>
      <c r="E135" s="560"/>
      <c r="F135" s="560">
        <f>'Aktuelle data'!Q10</f>
        <v>386940</v>
      </c>
      <c r="G135" s="560"/>
      <c r="H135" s="560">
        <f>'Aktuelle data'!R10</f>
        <v>389569</v>
      </c>
      <c r="I135" s="560"/>
      <c r="J135" s="560">
        <f>'Aktuelle data'!S10</f>
        <v>393368</v>
      </c>
      <c r="K135" s="560"/>
      <c r="L135" s="199">
        <f>'Aktuelle data'!T10</f>
        <v>395996</v>
      </c>
    </row>
    <row r="136" spans="3:12" ht="16">
      <c r="C136" s="238">
        <v>32</v>
      </c>
      <c r="D136" s="560">
        <f>'Aktuelle data'!P11</f>
        <v>389633</v>
      </c>
      <c r="E136" s="560"/>
      <c r="F136" s="560">
        <f>'Aktuelle data'!Q11</f>
        <v>393175</v>
      </c>
      <c r="G136" s="560"/>
      <c r="H136" s="560">
        <f>'Aktuelle data'!R11</f>
        <v>395626</v>
      </c>
      <c r="I136" s="560"/>
      <c r="J136" s="560">
        <f>'Aktuelle data'!S11</f>
        <v>399170</v>
      </c>
      <c r="K136" s="560"/>
      <c r="L136" s="199">
        <f>'Aktuelle data'!T11</f>
        <v>401623</v>
      </c>
    </row>
    <row r="137" spans="3:12" ht="16">
      <c r="C137" s="238">
        <v>33</v>
      </c>
      <c r="D137" s="560">
        <f>'Aktuelle data'!P12</f>
        <v>396266</v>
      </c>
      <c r="E137" s="560"/>
      <c r="F137" s="560">
        <f>'Aktuelle data'!Q12</f>
        <v>399538</v>
      </c>
      <c r="G137" s="560"/>
      <c r="H137" s="560">
        <f>'Aktuelle data'!R12</f>
        <v>401802</v>
      </c>
      <c r="I137" s="560"/>
      <c r="J137" s="560">
        <f>'Aktuelle data'!S12</f>
        <v>405074</v>
      </c>
      <c r="K137" s="560"/>
      <c r="L137" s="199">
        <f>'Aktuelle data'!T12</f>
        <v>407337</v>
      </c>
    </row>
    <row r="138" spans="3:12" ht="16">
      <c r="C138" s="238">
        <v>34</v>
      </c>
      <c r="D138" s="560">
        <f>'Aktuelle data'!P13</f>
        <v>403053</v>
      </c>
      <c r="E138" s="560"/>
      <c r="F138" s="560">
        <f>'Aktuelle data'!Q13</f>
        <v>406038</v>
      </c>
      <c r="G138" s="560"/>
      <c r="H138" s="560">
        <f>'Aktuelle data'!R13</f>
        <v>408102</v>
      </c>
      <c r="I138" s="560"/>
      <c r="J138" s="560">
        <f>'Aktuelle data'!S13</f>
        <v>411087</v>
      </c>
      <c r="K138" s="560"/>
      <c r="L138" s="199">
        <f>'Aktuelle data'!T13</f>
        <v>413153</v>
      </c>
    </row>
    <row r="139" spans="3:12" ht="16">
      <c r="C139" s="238">
        <v>35</v>
      </c>
      <c r="D139" s="560">
        <f>'Aktuelle data'!P14</f>
        <v>409982</v>
      </c>
      <c r="E139" s="560"/>
      <c r="F139" s="560">
        <f>'Aktuelle data'!Q14</f>
        <v>412662</v>
      </c>
      <c r="G139" s="560"/>
      <c r="H139" s="560">
        <f>'Aktuelle data'!R14</f>
        <v>414517</v>
      </c>
      <c r="I139" s="560"/>
      <c r="J139" s="560">
        <f>'Aktuelle data'!S14</f>
        <v>417195</v>
      </c>
      <c r="K139" s="560"/>
      <c r="L139" s="199">
        <f>'Aktuelle data'!T14</f>
        <v>419051</v>
      </c>
    </row>
    <row r="140" spans="3:12" ht="16">
      <c r="C140" s="238">
        <v>36</v>
      </c>
      <c r="D140" s="560">
        <f>'Aktuelle data'!P15</f>
        <v>417070</v>
      </c>
      <c r="E140" s="560"/>
      <c r="F140" s="560">
        <f>'Aktuelle data'!Q15</f>
        <v>419428</v>
      </c>
      <c r="G140" s="560"/>
      <c r="H140" s="560">
        <f>'Aktuelle data'!R15</f>
        <v>421058</v>
      </c>
      <c r="I140" s="560"/>
      <c r="J140" s="560">
        <f>'Aktuelle data'!S15</f>
        <v>423414</v>
      </c>
      <c r="K140" s="560"/>
      <c r="L140" s="199">
        <f>'Aktuelle data'!T15</f>
        <v>425046</v>
      </c>
    </row>
    <row r="141" spans="3:12" ht="16">
      <c r="C141" s="238">
        <v>37</v>
      </c>
      <c r="D141" s="560">
        <f>'Aktuelle data'!P16</f>
        <v>424312</v>
      </c>
      <c r="E141" s="560"/>
      <c r="F141" s="560">
        <f>'Aktuelle data'!Q16</f>
        <v>426327</v>
      </c>
      <c r="G141" s="560"/>
      <c r="H141" s="560">
        <f>'Aktuelle data'!R16</f>
        <v>427723</v>
      </c>
      <c r="I141" s="560"/>
      <c r="J141" s="560">
        <f>'Aktuelle data'!S16</f>
        <v>429738</v>
      </c>
      <c r="K141" s="560"/>
      <c r="L141" s="199">
        <f>'Aktuelle data'!T16</f>
        <v>431132</v>
      </c>
    </row>
    <row r="142" spans="3:12" ht="16">
      <c r="C142" s="238">
        <v>38</v>
      </c>
      <c r="D142" s="560">
        <f>'Aktuelle data'!P17</f>
        <v>432000</v>
      </c>
      <c r="E142" s="560"/>
      <c r="F142" s="560">
        <f>'Aktuelle data'!Q17</f>
        <v>433686</v>
      </c>
      <c r="G142" s="560"/>
      <c r="H142" s="560">
        <f>'Aktuelle data'!R17</f>
        <v>434855</v>
      </c>
      <c r="I142" s="560"/>
      <c r="J142" s="560">
        <f>'Aktuelle data'!S17</f>
        <v>436541</v>
      </c>
      <c r="K142" s="560"/>
      <c r="L142" s="199">
        <f>'Aktuelle data'!T17</f>
        <v>437711</v>
      </c>
    </row>
    <row r="143" spans="3:12" ht="16">
      <c r="C143" s="238">
        <v>39</v>
      </c>
      <c r="D143" s="560">
        <f>'Aktuelle data'!P18</f>
        <v>439718</v>
      </c>
      <c r="E143" s="560"/>
      <c r="F143" s="560">
        <f>'Aktuelle data'!Q18</f>
        <v>441016</v>
      </c>
      <c r="G143" s="560"/>
      <c r="H143" s="560">
        <f>'Aktuelle data'!R18</f>
        <v>441916</v>
      </c>
      <c r="I143" s="560"/>
      <c r="J143" s="560">
        <f>'Aktuelle data'!S18</f>
        <v>443214</v>
      </c>
      <c r="K143" s="560"/>
      <c r="L143" s="199">
        <f>'Aktuelle data'!T18</f>
        <v>444115</v>
      </c>
    </row>
    <row r="144" spans="3:12" ht="16">
      <c r="C144" s="238">
        <v>40</v>
      </c>
      <c r="D144" s="560">
        <f>'Aktuelle data'!P19</f>
        <v>447611</v>
      </c>
      <c r="E144" s="560"/>
      <c r="F144" s="560">
        <f>'Aktuelle data'!Q19</f>
        <v>448499</v>
      </c>
      <c r="G144" s="560"/>
      <c r="H144" s="560">
        <f>'Aktuelle data'!R19</f>
        <v>449115</v>
      </c>
      <c r="I144" s="560"/>
      <c r="J144" s="560">
        <f>'Aktuelle data'!S19</f>
        <v>450004</v>
      </c>
      <c r="K144" s="560"/>
      <c r="L144" s="199">
        <f>'Aktuelle data'!T19</f>
        <v>450620</v>
      </c>
    </row>
    <row r="145" spans="3:12" ht="16">
      <c r="C145" s="238">
        <v>41</v>
      </c>
      <c r="D145" s="560">
        <f>'Aktuelle data'!P20</f>
        <v>455675</v>
      </c>
      <c r="E145" s="560"/>
      <c r="F145" s="560">
        <f>'Aktuelle data'!Q20</f>
        <v>456130</v>
      </c>
      <c r="G145" s="560"/>
      <c r="H145" s="560">
        <f>'Aktuelle data'!R20</f>
        <v>456448</v>
      </c>
      <c r="I145" s="560"/>
      <c r="J145" s="560">
        <f>'Aktuelle data'!S20</f>
        <v>456901</v>
      </c>
      <c r="K145" s="560"/>
      <c r="L145" s="199">
        <f>'Aktuelle data'!T20</f>
        <v>457219</v>
      </c>
    </row>
    <row r="146" spans="3:12" ht="16">
      <c r="C146" s="238">
        <v>42</v>
      </c>
      <c r="D146" s="560">
        <f>'Aktuelle data'!P21</f>
        <v>463914</v>
      </c>
      <c r="E146" s="560"/>
      <c r="F146" s="560">
        <f>'Aktuelle data'!Q21</f>
        <v>463914</v>
      </c>
      <c r="G146" s="560"/>
      <c r="H146" s="560">
        <f>'Aktuelle data'!R21</f>
        <v>463914</v>
      </c>
      <c r="I146" s="560"/>
      <c r="J146" s="560">
        <f>'Aktuelle data'!S21</f>
        <v>463914</v>
      </c>
      <c r="K146" s="560"/>
      <c r="L146" s="199">
        <f>'Aktuelle data'!T21</f>
        <v>463914</v>
      </c>
    </row>
    <row r="147" spans="3:12" ht="16">
      <c r="C147" s="238">
        <v>43</v>
      </c>
      <c r="D147" s="560">
        <f>'Aktuelle data'!P22</f>
        <v>474224</v>
      </c>
      <c r="E147" s="560"/>
      <c r="F147" s="560">
        <f>'Aktuelle data'!Q22</f>
        <v>474224</v>
      </c>
      <c r="G147" s="560"/>
      <c r="H147" s="560">
        <f>'Aktuelle data'!R22</f>
        <v>474224</v>
      </c>
      <c r="I147" s="560"/>
      <c r="J147" s="560">
        <f>'Aktuelle data'!S22</f>
        <v>474224</v>
      </c>
      <c r="K147" s="560"/>
      <c r="L147" s="199">
        <f>'Aktuelle data'!T22</f>
        <v>474224</v>
      </c>
    </row>
    <row r="148" spans="3:12" ht="16">
      <c r="C148" s="238">
        <v>44</v>
      </c>
      <c r="D148" s="560">
        <f>'Aktuelle data'!P23</f>
        <v>484819</v>
      </c>
      <c r="E148" s="560"/>
      <c r="F148" s="560">
        <f>'Aktuelle data'!Q23</f>
        <v>484819</v>
      </c>
      <c r="G148" s="560"/>
      <c r="H148" s="560">
        <f>'Aktuelle data'!R23</f>
        <v>484819</v>
      </c>
      <c r="I148" s="560"/>
      <c r="J148" s="560">
        <f>'Aktuelle data'!S23</f>
        <v>484819</v>
      </c>
      <c r="K148" s="560"/>
      <c r="L148" s="199">
        <f>'Aktuelle data'!T23</f>
        <v>484819</v>
      </c>
    </row>
    <row r="149" spans="3:12" ht="16">
      <c r="C149" s="238">
        <v>45</v>
      </c>
      <c r="D149" s="560">
        <f>'Aktuelle data'!P24</f>
        <v>495705</v>
      </c>
      <c r="E149" s="560"/>
      <c r="F149" s="560">
        <f>'Aktuelle data'!Q24</f>
        <v>495705</v>
      </c>
      <c r="G149" s="560"/>
      <c r="H149" s="560">
        <f>'Aktuelle data'!R24</f>
        <v>495705</v>
      </c>
      <c r="I149" s="560"/>
      <c r="J149" s="560">
        <f>'Aktuelle data'!S24</f>
        <v>495705</v>
      </c>
      <c r="K149" s="560"/>
      <c r="L149" s="199">
        <f>'Aktuelle data'!T24</f>
        <v>495705</v>
      </c>
    </row>
    <row r="150" spans="3:12" ht="16">
      <c r="C150" s="238">
        <v>46</v>
      </c>
      <c r="D150" s="560">
        <f>'Aktuelle data'!P25</f>
        <v>506890</v>
      </c>
      <c r="E150" s="560"/>
      <c r="F150" s="560">
        <f>'Aktuelle data'!Q25</f>
        <v>506890</v>
      </c>
      <c r="G150" s="560"/>
      <c r="H150" s="560">
        <f>'Aktuelle data'!R25</f>
        <v>506890</v>
      </c>
      <c r="I150" s="560"/>
      <c r="J150" s="560">
        <f>'Aktuelle data'!S25</f>
        <v>506890</v>
      </c>
      <c r="K150" s="560"/>
      <c r="L150" s="199">
        <f>'Aktuelle data'!T25</f>
        <v>506890</v>
      </c>
    </row>
    <row r="151" spans="3:12" ht="16">
      <c r="C151" s="238">
        <v>47</v>
      </c>
      <c r="D151" s="560">
        <f>'Aktuelle data'!P26</f>
        <v>515913</v>
      </c>
      <c r="E151" s="560"/>
      <c r="F151" s="560">
        <f>'Aktuelle data'!Q26</f>
        <v>515913</v>
      </c>
      <c r="G151" s="560"/>
      <c r="H151" s="560">
        <f>'Aktuelle data'!R26</f>
        <v>515913</v>
      </c>
      <c r="I151" s="560"/>
      <c r="J151" s="560">
        <f>'Aktuelle data'!S26</f>
        <v>515913</v>
      </c>
      <c r="K151" s="560"/>
      <c r="L151" s="199">
        <f>'Aktuelle data'!T26</f>
        <v>515913</v>
      </c>
    </row>
    <row r="152" spans="3:12" ht="16">
      <c r="C152" s="238">
        <v>48</v>
      </c>
      <c r="D152" s="560">
        <f>'Aktuelle data'!P27</f>
        <v>539628</v>
      </c>
      <c r="E152" s="560"/>
      <c r="F152" s="560">
        <f>'Aktuelle data'!Q27</f>
        <v>539628</v>
      </c>
      <c r="G152" s="560"/>
      <c r="H152" s="560">
        <f>'Aktuelle data'!R27</f>
        <v>539628</v>
      </c>
      <c r="I152" s="560"/>
      <c r="J152" s="560">
        <f>'Aktuelle data'!S27</f>
        <v>539628</v>
      </c>
      <c r="K152" s="560"/>
      <c r="L152" s="199">
        <f>'Aktuelle data'!T27</f>
        <v>539628</v>
      </c>
    </row>
    <row r="153" spans="3:12" ht="16">
      <c r="C153" s="238">
        <v>49</v>
      </c>
      <c r="D153" s="560">
        <f>'Aktuelle data'!P28</f>
        <v>575843</v>
      </c>
      <c r="E153" s="560"/>
      <c r="F153" s="560">
        <f>'Aktuelle data'!Q28</f>
        <v>575843</v>
      </c>
      <c r="G153" s="560"/>
      <c r="H153" s="560">
        <f>'Aktuelle data'!R28</f>
        <v>575843</v>
      </c>
      <c r="I153" s="560"/>
      <c r="J153" s="560">
        <f>'Aktuelle data'!S28</f>
        <v>575843</v>
      </c>
      <c r="K153" s="560"/>
      <c r="L153" s="199">
        <f>'Aktuelle data'!T28</f>
        <v>575843</v>
      </c>
    </row>
    <row r="154" spans="3:12" ht="16">
      <c r="C154" s="238">
        <v>50</v>
      </c>
      <c r="D154" s="560">
        <f>'Aktuelle data'!P29</f>
        <v>630571</v>
      </c>
      <c r="E154" s="560"/>
      <c r="F154" s="560">
        <f>'Aktuelle data'!Q29</f>
        <v>630571</v>
      </c>
      <c r="G154" s="560"/>
      <c r="H154" s="560">
        <f>'Aktuelle data'!R29</f>
        <v>630571</v>
      </c>
      <c r="I154" s="560"/>
      <c r="J154" s="560">
        <f>'Aktuelle data'!S29</f>
        <v>630571</v>
      </c>
      <c r="K154" s="560"/>
      <c r="L154" s="199">
        <f>'Aktuelle data'!T29</f>
        <v>630571</v>
      </c>
    </row>
    <row r="155" spans="3:12" ht="16">
      <c r="C155" s="238">
        <v>51</v>
      </c>
      <c r="D155" s="560">
        <f>'Aktuelle data'!P30</f>
        <v>698779</v>
      </c>
      <c r="E155" s="560"/>
      <c r="F155" s="560">
        <f>'Aktuelle data'!Q30</f>
        <v>698779</v>
      </c>
      <c r="G155" s="560"/>
      <c r="H155" s="560">
        <f>'Aktuelle data'!R30</f>
        <v>698779</v>
      </c>
      <c r="I155" s="560"/>
      <c r="J155" s="560">
        <f>'Aktuelle data'!S30</f>
        <v>698779</v>
      </c>
      <c r="K155" s="560"/>
      <c r="L155" s="199">
        <f>'Aktuelle data'!T30</f>
        <v>698779</v>
      </c>
    </row>
    <row r="156" spans="3:12" ht="16">
      <c r="C156" s="238">
        <v>52</v>
      </c>
      <c r="D156" s="560">
        <f>'Aktuelle data'!P31</f>
        <v>795836</v>
      </c>
      <c r="E156" s="560"/>
      <c r="F156" s="560">
        <f>'Aktuelle data'!Q31</f>
        <v>795836</v>
      </c>
      <c r="G156" s="560"/>
      <c r="H156" s="560">
        <f>'Aktuelle data'!R31</f>
        <v>795836</v>
      </c>
      <c r="I156" s="560"/>
      <c r="J156" s="560">
        <f>'Aktuelle data'!S31</f>
        <v>795836</v>
      </c>
      <c r="K156" s="560"/>
      <c r="L156" s="199">
        <f>'Aktuelle data'!T31</f>
        <v>795836</v>
      </c>
    </row>
    <row r="157" spans="3:12" ht="16">
      <c r="C157" s="238">
        <v>53</v>
      </c>
      <c r="D157" s="560">
        <f>'Aktuelle data'!P32</f>
        <v>885898</v>
      </c>
      <c r="E157" s="560"/>
      <c r="F157" s="560">
        <f>'Aktuelle data'!Q32</f>
        <v>885898</v>
      </c>
      <c r="G157" s="560"/>
      <c r="H157" s="560">
        <f>'Aktuelle data'!R32</f>
        <v>885898</v>
      </c>
      <c r="I157" s="560"/>
      <c r="J157" s="560">
        <f>'Aktuelle data'!S32</f>
        <v>885898</v>
      </c>
      <c r="K157" s="560"/>
      <c r="L157" s="199">
        <f>'Aktuelle data'!T32</f>
        <v>885898</v>
      </c>
    </row>
    <row r="158" spans="3:12" ht="16">
      <c r="C158" s="238">
        <v>54</v>
      </c>
      <c r="D158" s="560">
        <f>'Aktuelle data'!P33</f>
        <v>998145</v>
      </c>
      <c r="E158" s="560"/>
      <c r="F158" s="560">
        <f>'Aktuelle data'!Q33</f>
        <v>998145</v>
      </c>
      <c r="G158" s="560"/>
      <c r="H158" s="560">
        <f>'Aktuelle data'!R33</f>
        <v>998145</v>
      </c>
      <c r="I158" s="560"/>
      <c r="J158" s="560">
        <f>'Aktuelle data'!S33</f>
        <v>998145</v>
      </c>
      <c r="K158" s="560"/>
      <c r="L158" s="199">
        <f>'Aktuelle data'!T33</f>
        <v>998145</v>
      </c>
    </row>
    <row r="159" spans="3:12" ht="16">
      <c r="C159" s="238">
        <v>55</v>
      </c>
      <c r="D159" s="560">
        <f>'Aktuelle data'!P34</f>
        <v>1119693</v>
      </c>
      <c r="E159" s="560"/>
      <c r="F159" s="560">
        <f>'Aktuelle data'!Q34</f>
        <v>1119693</v>
      </c>
      <c r="G159" s="560"/>
      <c r="H159" s="560">
        <f>'Aktuelle data'!R34</f>
        <v>1119693</v>
      </c>
      <c r="I159" s="560"/>
      <c r="J159" s="560">
        <f>'Aktuelle data'!S34</f>
        <v>1119693</v>
      </c>
      <c r="K159" s="560"/>
      <c r="L159" s="199">
        <f>'Aktuelle data'!T34</f>
        <v>1119693</v>
      </c>
    </row>
    <row r="160" spans="3:12" ht="17" thickBot="1">
      <c r="C160" s="239" t="s">
        <v>13</v>
      </c>
      <c r="D160" s="558">
        <f>'Aktuelle data'!P35</f>
        <v>1255994</v>
      </c>
      <c r="E160" s="558"/>
      <c r="F160" s="558">
        <f>'Aktuelle data'!Q35</f>
        <v>1255994</v>
      </c>
      <c r="G160" s="558"/>
      <c r="H160" s="558">
        <f>'Aktuelle data'!R35</f>
        <v>1255994</v>
      </c>
      <c r="I160" s="558"/>
      <c r="J160" s="558">
        <f>'Aktuelle data'!S35</f>
        <v>1255994</v>
      </c>
      <c r="K160" s="558"/>
      <c r="L160" s="200">
        <f>'Aktuelle data'!T35</f>
        <v>1255994</v>
      </c>
    </row>
    <row r="163" spans="2:12">
      <c r="B163" s="559" t="s">
        <v>196</v>
      </c>
      <c r="C163" s="559"/>
      <c r="D163" s="559"/>
      <c r="E163" s="559"/>
      <c r="F163" s="559"/>
      <c r="G163" s="559"/>
      <c r="H163" s="559"/>
      <c r="I163" s="559"/>
      <c r="J163" s="559"/>
      <c r="K163" s="33"/>
      <c r="L163" s="11">
        <f>'Aktuelle data'!B44*'Aktuelle data'!C37</f>
        <v>2404.3815</v>
      </c>
    </row>
    <row r="164" spans="2:12">
      <c r="B164" s="559" t="s">
        <v>197</v>
      </c>
      <c r="C164" s="559"/>
      <c r="D164" s="559"/>
      <c r="E164" s="559"/>
      <c r="F164" s="559"/>
      <c r="G164" s="559"/>
      <c r="H164" s="559"/>
      <c r="I164" s="559"/>
      <c r="J164" s="559"/>
      <c r="K164" s="33"/>
      <c r="L164" s="11">
        <f>L163/12</f>
        <v>200.36512500000001</v>
      </c>
    </row>
    <row r="165" spans="2:12">
      <c r="B165" s="552" t="s">
        <v>198</v>
      </c>
      <c r="C165" s="552"/>
      <c r="D165" s="552"/>
      <c r="E165" s="552"/>
      <c r="F165" s="552"/>
      <c r="G165" s="552"/>
      <c r="H165" s="552"/>
      <c r="I165" s="552"/>
      <c r="J165" s="552"/>
    </row>
    <row r="191" spans="2:12" ht="34">
      <c r="B191" s="553" t="s">
        <v>203</v>
      </c>
      <c r="C191" s="553"/>
      <c r="D191" s="553"/>
      <c r="E191" s="553"/>
      <c r="F191" s="553"/>
      <c r="G191" s="553"/>
      <c r="H191" s="553"/>
      <c r="I191" s="553"/>
      <c r="J191" s="553"/>
      <c r="K191" s="553"/>
      <c r="L191" s="553"/>
    </row>
    <row r="192" spans="2:12" ht="15.5" customHeight="1" thickBot="1">
      <c r="B192" s="31"/>
      <c r="C192" s="31"/>
      <c r="D192" s="31"/>
      <c r="E192" s="31"/>
      <c r="F192" s="31"/>
      <c r="G192" s="31"/>
      <c r="H192" s="31"/>
      <c r="I192" s="31"/>
      <c r="J192" s="31"/>
      <c r="K192" s="31"/>
      <c r="L192" s="31"/>
    </row>
    <row r="193" spans="2:13" ht="22.75" customHeight="1">
      <c r="B193" s="554" t="s">
        <v>204</v>
      </c>
      <c r="C193" s="555"/>
      <c r="E193" s="544" t="s">
        <v>207</v>
      </c>
      <c r="F193" s="545"/>
      <c r="G193" s="545"/>
      <c r="H193" s="546"/>
      <c r="K193" s="556" t="s">
        <v>206</v>
      </c>
      <c r="L193" s="557"/>
      <c r="M193" s="243"/>
    </row>
    <row r="194" spans="2:13">
      <c r="B194" s="37" t="s">
        <v>35</v>
      </c>
      <c r="C194" s="38">
        <v>4</v>
      </c>
      <c r="E194" s="536" t="s">
        <v>114</v>
      </c>
      <c r="F194" s="537"/>
      <c r="G194" s="538"/>
      <c r="H194" s="38">
        <v>0</v>
      </c>
      <c r="K194" s="540" t="s">
        <v>92</v>
      </c>
      <c r="L194" s="542"/>
      <c r="M194" s="39">
        <v>0</v>
      </c>
    </row>
    <row r="195" spans="2:13">
      <c r="B195" s="37" t="s">
        <v>36</v>
      </c>
      <c r="C195" s="38">
        <v>3</v>
      </c>
      <c r="E195" s="540" t="s">
        <v>115</v>
      </c>
      <c r="F195" s="541"/>
      <c r="G195" s="542"/>
      <c r="H195" s="38">
        <v>0</v>
      </c>
      <c r="K195" s="540" t="s">
        <v>93</v>
      </c>
      <c r="L195" s="542"/>
      <c r="M195" s="39">
        <v>0</v>
      </c>
    </row>
    <row r="196" spans="2:13">
      <c r="B196" s="37" t="s">
        <v>37</v>
      </c>
      <c r="C196" s="38">
        <v>4</v>
      </c>
      <c r="E196" s="540" t="s">
        <v>116</v>
      </c>
      <c r="F196" s="541"/>
      <c r="G196" s="542"/>
      <c r="H196" s="38">
        <v>0</v>
      </c>
      <c r="K196" s="540" t="s">
        <v>94</v>
      </c>
      <c r="L196" s="542"/>
      <c r="M196" s="39">
        <v>0</v>
      </c>
    </row>
    <row r="197" spans="2:13">
      <c r="B197" s="37" t="s">
        <v>38</v>
      </c>
      <c r="C197" s="38">
        <v>0</v>
      </c>
      <c r="E197" s="540" t="s">
        <v>117</v>
      </c>
      <c r="F197" s="541"/>
      <c r="G197" s="542"/>
      <c r="H197" s="98">
        <v>0</v>
      </c>
      <c r="K197" s="540" t="s">
        <v>95</v>
      </c>
      <c r="L197" s="542"/>
      <c r="M197" s="39">
        <v>1</v>
      </c>
    </row>
    <row r="198" spans="2:13">
      <c r="B198" s="37" t="s">
        <v>39</v>
      </c>
      <c r="C198" s="38">
        <v>4</v>
      </c>
      <c r="E198" s="540" t="s">
        <v>118</v>
      </c>
      <c r="F198" s="541"/>
      <c r="G198" s="542"/>
      <c r="H198" s="38">
        <v>0</v>
      </c>
      <c r="K198" s="540" t="s">
        <v>96</v>
      </c>
      <c r="L198" s="542"/>
      <c r="M198" s="39">
        <v>0</v>
      </c>
    </row>
    <row r="199" spans="2:13">
      <c r="B199" s="37" t="s">
        <v>40</v>
      </c>
      <c r="C199" s="38">
        <v>4</v>
      </c>
      <c r="E199" s="540" t="s">
        <v>119</v>
      </c>
      <c r="F199" s="541"/>
      <c r="G199" s="542"/>
      <c r="H199" s="38">
        <v>0</v>
      </c>
      <c r="K199" s="540" t="s">
        <v>97</v>
      </c>
      <c r="L199" s="542"/>
      <c r="M199" s="39">
        <v>0</v>
      </c>
    </row>
    <row r="200" spans="2:13">
      <c r="B200" s="37" t="s">
        <v>41</v>
      </c>
      <c r="C200" s="38">
        <v>4</v>
      </c>
      <c r="E200" s="540" t="s">
        <v>120</v>
      </c>
      <c r="F200" s="541"/>
      <c r="G200" s="542"/>
      <c r="H200" s="38">
        <v>0</v>
      </c>
      <c r="K200" s="540" t="s">
        <v>98</v>
      </c>
      <c r="L200" s="542"/>
      <c r="M200" s="39">
        <v>1</v>
      </c>
    </row>
    <row r="201" spans="2:13">
      <c r="B201" s="37" t="s">
        <v>42</v>
      </c>
      <c r="C201" s="38">
        <v>3</v>
      </c>
      <c r="E201" s="540" t="s">
        <v>121</v>
      </c>
      <c r="F201" s="541"/>
      <c r="G201" s="542"/>
      <c r="H201" s="38">
        <v>0</v>
      </c>
      <c r="K201" s="540" t="s">
        <v>99</v>
      </c>
      <c r="L201" s="542"/>
      <c r="M201" s="39">
        <v>0</v>
      </c>
    </row>
    <row r="202" spans="2:13">
      <c r="B202" s="37" t="s">
        <v>43</v>
      </c>
      <c r="C202" s="38">
        <v>4</v>
      </c>
      <c r="E202" s="540" t="s">
        <v>122</v>
      </c>
      <c r="F202" s="541"/>
      <c r="G202" s="542"/>
      <c r="H202" s="38">
        <v>0</v>
      </c>
      <c r="K202" s="540" t="s">
        <v>100</v>
      </c>
      <c r="L202" s="542"/>
      <c r="M202" s="39">
        <v>1</v>
      </c>
    </row>
    <row r="203" spans="2:13">
      <c r="B203" s="37" t="s">
        <v>44</v>
      </c>
      <c r="C203" s="38">
        <v>3</v>
      </c>
      <c r="E203" s="540" t="s">
        <v>123</v>
      </c>
      <c r="F203" s="541"/>
      <c r="G203" s="542"/>
      <c r="H203" s="38">
        <v>0</v>
      </c>
      <c r="K203" s="540" t="s">
        <v>101</v>
      </c>
      <c r="L203" s="542"/>
      <c r="M203" s="39">
        <v>0</v>
      </c>
    </row>
    <row r="204" spans="2:13">
      <c r="B204" s="37" t="s">
        <v>45</v>
      </c>
      <c r="C204" s="38">
        <v>3</v>
      </c>
      <c r="E204" s="540" t="s">
        <v>124</v>
      </c>
      <c r="F204" s="541"/>
      <c r="G204" s="542"/>
      <c r="H204" s="38">
        <v>0</v>
      </c>
      <c r="K204" s="540" t="s">
        <v>102</v>
      </c>
      <c r="L204" s="542"/>
      <c r="M204" s="39">
        <v>0</v>
      </c>
    </row>
    <row r="205" spans="2:13">
      <c r="B205" s="37" t="s">
        <v>46</v>
      </c>
      <c r="C205" s="38">
        <v>4</v>
      </c>
      <c r="E205" s="540" t="s">
        <v>125</v>
      </c>
      <c r="F205" s="541"/>
      <c r="G205" s="542"/>
      <c r="H205" s="38">
        <v>0</v>
      </c>
      <c r="K205" s="549" t="s">
        <v>103</v>
      </c>
      <c r="L205" s="539"/>
      <c r="M205" s="39">
        <v>0</v>
      </c>
    </row>
    <row r="206" spans="2:13" ht="14.5" customHeight="1">
      <c r="B206" s="37" t="s">
        <v>47</v>
      </c>
      <c r="C206" s="38">
        <v>4</v>
      </c>
      <c r="E206" s="540" t="s">
        <v>126</v>
      </c>
      <c r="F206" s="541"/>
      <c r="G206" s="542"/>
      <c r="H206" s="38">
        <v>0</v>
      </c>
      <c r="K206" s="550" t="s">
        <v>303</v>
      </c>
      <c r="L206" s="551"/>
      <c r="M206" s="39">
        <v>0</v>
      </c>
    </row>
    <row r="207" spans="2:13" ht="14.5" customHeight="1">
      <c r="B207" s="37" t="s">
        <v>48</v>
      </c>
      <c r="C207" s="38">
        <v>4</v>
      </c>
      <c r="E207" s="540" t="s">
        <v>127</v>
      </c>
      <c r="F207" s="541"/>
      <c r="G207" s="542"/>
      <c r="H207" s="38">
        <v>1</v>
      </c>
      <c r="K207" s="549" t="s">
        <v>104</v>
      </c>
      <c r="L207" s="539"/>
      <c r="M207" s="39">
        <v>1</v>
      </c>
    </row>
    <row r="208" spans="2:13" ht="14.5" customHeight="1">
      <c r="B208" s="37" t="s">
        <v>49</v>
      </c>
      <c r="C208" s="38">
        <v>4</v>
      </c>
      <c r="E208" s="540" t="s">
        <v>128</v>
      </c>
      <c r="F208" s="541"/>
      <c r="G208" s="542"/>
      <c r="H208" s="38">
        <v>0</v>
      </c>
      <c r="K208" s="540" t="s">
        <v>105</v>
      </c>
      <c r="L208" s="542"/>
      <c r="M208" s="39">
        <v>1</v>
      </c>
    </row>
    <row r="209" spans="2:14" ht="14.5" customHeight="1">
      <c r="B209" s="37" t="s">
        <v>50</v>
      </c>
      <c r="C209" s="38">
        <v>4</v>
      </c>
      <c r="E209" s="540" t="s">
        <v>129</v>
      </c>
      <c r="F209" s="541"/>
      <c r="G209" s="542"/>
      <c r="H209" s="38">
        <v>0</v>
      </c>
      <c r="K209" s="540" t="s">
        <v>106</v>
      </c>
      <c r="L209" s="542"/>
      <c r="M209" s="39">
        <v>0</v>
      </c>
    </row>
    <row r="210" spans="2:14" ht="14.5" customHeight="1">
      <c r="B210" s="37" t="s">
        <v>51</v>
      </c>
      <c r="C210" s="38">
        <v>3</v>
      </c>
      <c r="D210" s="41"/>
      <c r="E210" s="540" t="s">
        <v>130</v>
      </c>
      <c r="F210" s="541"/>
      <c r="G210" s="542"/>
      <c r="H210" s="38">
        <v>0</v>
      </c>
      <c r="K210" s="540" t="s">
        <v>107</v>
      </c>
      <c r="L210" s="542"/>
      <c r="M210" s="39">
        <v>1</v>
      </c>
    </row>
    <row r="211" spans="2:14" ht="14.5" customHeight="1">
      <c r="B211" s="37" t="s">
        <v>52</v>
      </c>
      <c r="C211" s="38">
        <v>3</v>
      </c>
      <c r="E211" s="540" t="s">
        <v>131</v>
      </c>
      <c r="F211" s="541"/>
      <c r="G211" s="542"/>
      <c r="H211" s="38">
        <v>0</v>
      </c>
      <c r="K211" s="540" t="s">
        <v>108</v>
      </c>
      <c r="L211" s="542"/>
      <c r="M211" s="39">
        <v>0</v>
      </c>
    </row>
    <row r="212" spans="2:14" ht="16" thickBot="1">
      <c r="B212" s="37" t="s">
        <v>53</v>
      </c>
      <c r="C212" s="38">
        <v>4</v>
      </c>
      <c r="E212" s="528" t="s">
        <v>132</v>
      </c>
      <c r="F212" s="529"/>
      <c r="G212" s="530"/>
      <c r="H212" s="40">
        <v>2</v>
      </c>
      <c r="K212" s="540" t="s">
        <v>109</v>
      </c>
      <c r="L212" s="542"/>
      <c r="M212" s="39">
        <v>0</v>
      </c>
    </row>
    <row r="213" spans="2:14" ht="16" thickBot="1">
      <c r="B213" s="37" t="s">
        <v>54</v>
      </c>
      <c r="C213" s="38">
        <v>3</v>
      </c>
      <c r="K213" s="540" t="s">
        <v>110</v>
      </c>
      <c r="L213" s="542"/>
      <c r="M213" s="39">
        <v>0</v>
      </c>
    </row>
    <row r="214" spans="2:14">
      <c r="B214" s="37" t="s">
        <v>55</v>
      </c>
      <c r="C214" s="38">
        <v>4</v>
      </c>
      <c r="E214" s="544" t="s">
        <v>205</v>
      </c>
      <c r="F214" s="545"/>
      <c r="G214" s="545"/>
      <c r="H214" s="546"/>
      <c r="K214" s="540" t="s">
        <v>111</v>
      </c>
      <c r="L214" s="542"/>
      <c r="M214" s="39">
        <v>0</v>
      </c>
    </row>
    <row r="215" spans="2:14">
      <c r="B215" s="37" t="s">
        <v>56</v>
      </c>
      <c r="C215" s="38">
        <v>4</v>
      </c>
      <c r="E215" s="536" t="s">
        <v>65</v>
      </c>
      <c r="F215" s="537"/>
      <c r="G215" s="538"/>
      <c r="H215" s="38">
        <v>0</v>
      </c>
      <c r="K215" s="540" t="s">
        <v>112</v>
      </c>
      <c r="L215" s="542"/>
      <c r="M215" s="39">
        <v>0</v>
      </c>
    </row>
    <row r="216" spans="2:14" ht="16" thickBot="1">
      <c r="B216" s="37" t="s">
        <v>57</v>
      </c>
      <c r="C216" s="38">
        <v>3</v>
      </c>
      <c r="E216" s="540" t="s">
        <v>66</v>
      </c>
      <c r="F216" s="541"/>
      <c r="G216" s="542"/>
      <c r="H216" s="38">
        <v>0</v>
      </c>
      <c r="I216" s="46"/>
      <c r="K216" s="547" t="s">
        <v>113</v>
      </c>
      <c r="L216" s="548"/>
      <c r="M216" s="42">
        <v>0</v>
      </c>
    </row>
    <row r="217" spans="2:14" ht="14.5" customHeight="1">
      <c r="B217" s="37" t="s">
        <v>58</v>
      </c>
      <c r="C217" s="38">
        <v>4</v>
      </c>
      <c r="E217" s="540" t="s">
        <v>67</v>
      </c>
      <c r="F217" s="541"/>
      <c r="G217" s="542"/>
      <c r="H217" s="38">
        <v>0</v>
      </c>
      <c r="I217" s="46"/>
      <c r="N217" s="161"/>
    </row>
    <row r="218" spans="2:14" ht="14.5" customHeight="1">
      <c r="B218" s="37" t="s">
        <v>59</v>
      </c>
      <c r="C218" s="38">
        <v>4</v>
      </c>
      <c r="E218" s="540" t="s">
        <v>68</v>
      </c>
      <c r="F218" s="541"/>
      <c r="G218" s="542"/>
      <c r="H218" s="38">
        <v>1</v>
      </c>
      <c r="I218" s="46"/>
      <c r="K218" s="543" t="s">
        <v>208</v>
      </c>
      <c r="L218" s="543"/>
      <c r="M218" s="543"/>
    </row>
    <row r="219" spans="2:14" ht="24" customHeight="1">
      <c r="B219" s="37" t="s">
        <v>60</v>
      </c>
      <c r="C219" s="38">
        <v>4</v>
      </c>
      <c r="E219" s="540" t="s">
        <v>69</v>
      </c>
      <c r="F219" s="541"/>
      <c r="G219" s="542"/>
      <c r="H219" s="38">
        <v>2</v>
      </c>
      <c r="I219" s="46"/>
      <c r="K219" s="539" t="s">
        <v>81</v>
      </c>
      <c r="L219" s="539"/>
      <c r="M219" s="304">
        <v>0</v>
      </c>
    </row>
    <row r="220" spans="2:14" ht="14.5" customHeight="1">
      <c r="B220" s="37" t="s">
        <v>61</v>
      </c>
      <c r="C220" s="38">
        <v>4</v>
      </c>
      <c r="E220" s="540" t="s">
        <v>70</v>
      </c>
      <c r="F220" s="541"/>
      <c r="G220" s="542"/>
      <c r="H220" s="38">
        <v>2</v>
      </c>
      <c r="I220" s="46"/>
      <c r="K220" s="539" t="s">
        <v>82</v>
      </c>
      <c r="L220" s="539"/>
      <c r="M220" s="304">
        <v>1</v>
      </c>
    </row>
    <row r="221" spans="2:14" ht="14.5" customHeight="1">
      <c r="B221" s="37" t="s">
        <v>62</v>
      </c>
      <c r="C221" s="38">
        <v>4</v>
      </c>
      <c r="E221" s="540" t="s">
        <v>71</v>
      </c>
      <c r="F221" s="541"/>
      <c r="G221" s="542"/>
      <c r="H221" s="38">
        <v>0</v>
      </c>
      <c r="I221" s="46"/>
      <c r="K221" s="539" t="s">
        <v>83</v>
      </c>
      <c r="L221" s="539"/>
      <c r="M221" s="304">
        <v>0</v>
      </c>
    </row>
    <row r="222" spans="2:14" ht="14.5" customHeight="1">
      <c r="B222" s="37" t="s">
        <v>63</v>
      </c>
      <c r="C222" s="38">
        <v>4</v>
      </c>
      <c r="E222" s="540" t="s">
        <v>72</v>
      </c>
      <c r="F222" s="541"/>
      <c r="G222" s="542"/>
      <c r="H222" s="38">
        <v>1</v>
      </c>
      <c r="I222" s="46"/>
      <c r="J222" s="43"/>
      <c r="K222" s="539" t="s">
        <v>84</v>
      </c>
      <c r="L222" s="539"/>
      <c r="M222" s="304">
        <v>0</v>
      </c>
    </row>
    <row r="223" spans="2:14" ht="15" customHeight="1" thickBot="1">
      <c r="B223" s="44" t="s">
        <v>64</v>
      </c>
      <c r="C223" s="40">
        <v>4</v>
      </c>
      <c r="E223" s="540" t="s">
        <v>73</v>
      </c>
      <c r="F223" s="541"/>
      <c r="G223" s="542"/>
      <c r="H223" s="38">
        <v>0</v>
      </c>
      <c r="I223" s="46"/>
      <c r="K223" s="539" t="s">
        <v>85</v>
      </c>
      <c r="L223" s="539"/>
      <c r="M223" s="304">
        <v>0</v>
      </c>
    </row>
    <row r="224" spans="2:14" ht="14.5" customHeight="1">
      <c r="B224" s="45"/>
      <c r="C224" s="46"/>
      <c r="E224" s="540" t="s">
        <v>74</v>
      </c>
      <c r="F224" s="541"/>
      <c r="G224" s="542"/>
      <c r="H224" s="38">
        <v>0</v>
      </c>
      <c r="I224" s="46"/>
      <c r="K224" s="539" t="s">
        <v>86</v>
      </c>
      <c r="L224" s="539"/>
      <c r="M224" s="304">
        <v>0</v>
      </c>
    </row>
    <row r="225" spans="5:13" ht="14.5" customHeight="1">
      <c r="E225" s="540" t="s">
        <v>75</v>
      </c>
      <c r="F225" s="541"/>
      <c r="G225" s="542"/>
      <c r="H225" s="38">
        <v>2</v>
      </c>
      <c r="I225" s="46"/>
      <c r="K225" s="539" t="s">
        <v>87</v>
      </c>
      <c r="L225" s="539"/>
      <c r="M225" s="304">
        <v>0</v>
      </c>
    </row>
    <row r="226" spans="5:13" ht="14.5" customHeight="1">
      <c r="E226" s="540" t="s">
        <v>76</v>
      </c>
      <c r="F226" s="541"/>
      <c r="G226" s="542"/>
      <c r="H226" s="38">
        <v>1</v>
      </c>
      <c r="I226" s="46"/>
      <c r="K226" s="539" t="s">
        <v>88</v>
      </c>
      <c r="L226" s="539"/>
      <c r="M226" s="304">
        <v>0</v>
      </c>
    </row>
    <row r="227" spans="5:13" ht="14.5" customHeight="1">
      <c r="E227" s="536" t="s">
        <v>77</v>
      </c>
      <c r="F227" s="537"/>
      <c r="G227" s="538"/>
      <c r="H227" s="38">
        <v>2</v>
      </c>
      <c r="I227" s="46"/>
      <c r="K227" s="539" t="s">
        <v>89</v>
      </c>
      <c r="L227" s="539"/>
      <c r="M227" s="304">
        <v>0</v>
      </c>
    </row>
    <row r="228" spans="5:13" ht="15" customHeight="1">
      <c r="E228" s="540" t="s">
        <v>78</v>
      </c>
      <c r="F228" s="541"/>
      <c r="G228" s="542"/>
      <c r="H228" s="38">
        <v>0</v>
      </c>
      <c r="I228" s="46"/>
      <c r="K228" s="539" t="s">
        <v>90</v>
      </c>
      <c r="L228" s="539"/>
      <c r="M228" s="304">
        <v>0</v>
      </c>
    </row>
    <row r="229" spans="5:13">
      <c r="E229" s="540" t="s">
        <v>79</v>
      </c>
      <c r="F229" s="541"/>
      <c r="G229" s="542"/>
      <c r="H229" s="38">
        <v>0</v>
      </c>
      <c r="I229" s="46"/>
      <c r="K229" s="539" t="s">
        <v>91</v>
      </c>
      <c r="L229" s="539"/>
      <c r="M229" s="304">
        <v>1</v>
      </c>
    </row>
    <row r="230" spans="5:13" ht="16" thickBot="1">
      <c r="E230" s="528" t="s">
        <v>80</v>
      </c>
      <c r="F230" s="529"/>
      <c r="G230" s="530"/>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496" t="s">
        <v>284</v>
      </c>
      <c r="C256" s="496"/>
      <c r="D256" s="496"/>
      <c r="E256" s="496"/>
      <c r="F256" s="496"/>
      <c r="G256" s="496"/>
      <c r="H256" s="496"/>
      <c r="I256" s="496"/>
      <c r="J256" s="496"/>
      <c r="K256" s="496"/>
    </row>
    <row r="257" spans="2:13" ht="34.25" customHeight="1">
      <c r="B257" s="457" t="s">
        <v>231</v>
      </c>
      <c r="C257" s="457"/>
      <c r="D257" s="457"/>
      <c r="E257" s="457"/>
      <c r="F257" s="457"/>
      <c r="G257" s="457"/>
      <c r="H257" s="457"/>
      <c r="I257" s="457"/>
      <c r="J257" s="457"/>
      <c r="K257" s="457"/>
      <c r="L257" s="28">
        <f>'Aktuelle data'!C37</f>
        <v>1.602921</v>
      </c>
    </row>
    <row r="258" spans="2:13">
      <c r="B258" s="48"/>
    </row>
    <row r="259" spans="2:13" ht="21">
      <c r="B259" s="531" t="s">
        <v>285</v>
      </c>
      <c r="C259" s="531"/>
      <c r="D259" s="531"/>
      <c r="E259" s="531"/>
      <c r="F259" s="531"/>
      <c r="G259" s="531"/>
      <c r="H259" s="531"/>
      <c r="I259" s="531"/>
      <c r="J259" s="531"/>
      <c r="K259" s="531"/>
      <c r="L259" s="531"/>
      <c r="M259" s="531"/>
    </row>
    <row r="260" spans="2:13" ht="16" thickBot="1"/>
    <row r="261" spans="2:13">
      <c r="C261" s="497" t="s">
        <v>216</v>
      </c>
      <c r="D261" s="498"/>
      <c r="E261" s="498"/>
      <c r="F261" s="498"/>
      <c r="G261" s="498"/>
      <c r="H261" s="498"/>
      <c r="I261" s="244"/>
      <c r="J261" s="245">
        <f>'Aktuelle data'!C37</f>
        <v>1.602921</v>
      </c>
    </row>
    <row r="262" spans="2:13" ht="58.25" customHeight="1">
      <c r="C262" s="246" t="s">
        <v>213</v>
      </c>
      <c r="D262" s="247" t="s">
        <v>209</v>
      </c>
      <c r="E262" s="248"/>
      <c r="F262" s="249" t="s">
        <v>210</v>
      </c>
      <c r="G262" s="532" t="s">
        <v>211</v>
      </c>
      <c r="H262" s="533"/>
      <c r="I262" s="534" t="s">
        <v>212</v>
      </c>
      <c r="J262" s="535"/>
    </row>
    <row r="263" spans="2:13">
      <c r="C263" s="136">
        <v>1000</v>
      </c>
      <c r="D263" s="137">
        <f>'Aktuelle data'!W7</f>
        <v>1602.921</v>
      </c>
      <c r="E263" s="138"/>
      <c r="F263" s="139">
        <f>'Aktuelle data'!X7</f>
        <v>133.57675</v>
      </c>
      <c r="G263" s="140"/>
      <c r="H263" s="139">
        <f>'Aktuelle data'!Y7</f>
        <v>268.48926750000004</v>
      </c>
      <c r="I263" s="75"/>
      <c r="J263" s="141">
        <f>'Aktuelle data'!Z7</f>
        <v>1871.4102675000001</v>
      </c>
    </row>
    <row r="264" spans="2:13">
      <c r="B264" s="30" t="s">
        <v>215</v>
      </c>
      <c r="C264" s="142">
        <v>1500</v>
      </c>
      <c r="D264" s="137">
        <f>'Aktuelle data'!W8</f>
        <v>2404.3815</v>
      </c>
      <c r="E264" s="143"/>
      <c r="F264" s="144">
        <f>'Aktuelle data'!X8</f>
        <v>200.36512500000001</v>
      </c>
      <c r="G264" s="145"/>
      <c r="H264" s="144">
        <f>'Aktuelle data'!Y8</f>
        <v>402.73390124999997</v>
      </c>
      <c r="I264" s="59"/>
      <c r="J264" s="146">
        <f>'Aktuelle data'!Z8</f>
        <v>2807.1154012500001</v>
      </c>
    </row>
    <row r="265" spans="2:13">
      <c r="C265" s="147">
        <v>2500</v>
      </c>
      <c r="D265" s="137">
        <f>'Aktuelle data'!W9</f>
        <v>4007.3025000000002</v>
      </c>
      <c r="E265" s="145"/>
      <c r="F265" s="144">
        <f>'Aktuelle data'!X9</f>
        <v>333.94187500000004</v>
      </c>
      <c r="G265" s="145"/>
      <c r="H265" s="144">
        <f>'Aktuelle data'!Y9</f>
        <v>671.22316875000001</v>
      </c>
      <c r="I265" s="59"/>
      <c r="J265" s="146">
        <f>'Aktuelle data'!Z9</f>
        <v>4678.5256687500005</v>
      </c>
    </row>
    <row r="266" spans="2:13">
      <c r="C266" s="148">
        <v>2800</v>
      </c>
      <c r="D266" s="137">
        <f>'Aktuelle data'!W10</f>
        <v>4488.1787999999997</v>
      </c>
      <c r="E266" s="143"/>
      <c r="F266" s="144">
        <f>'Aktuelle data'!X10</f>
        <v>374.01489999999995</v>
      </c>
      <c r="G266" s="145"/>
      <c r="H266" s="144">
        <f>'Aktuelle data'!Y10</f>
        <v>751.76994899999988</v>
      </c>
      <c r="I266" s="59"/>
      <c r="J266" s="146">
        <f>'Aktuelle data'!Z10</f>
        <v>5239.9487489999992</v>
      </c>
    </row>
    <row r="267" spans="2:13">
      <c r="C267" s="148">
        <v>3100</v>
      </c>
      <c r="D267" s="137">
        <f>'Aktuelle data'!W11</f>
        <v>4969.0551000000005</v>
      </c>
      <c r="E267" s="143"/>
      <c r="F267" s="144">
        <f>'Aktuelle data'!X11</f>
        <v>414.08792500000004</v>
      </c>
      <c r="G267" s="145"/>
      <c r="H267" s="144">
        <f>'Aktuelle data'!Y11</f>
        <v>832.31672925000009</v>
      </c>
      <c r="I267" s="59"/>
      <c r="J267" s="146">
        <f>'Aktuelle data'!Z11</f>
        <v>5801.3718292500007</v>
      </c>
    </row>
    <row r="268" spans="2:13">
      <c r="C268" s="148">
        <v>3400</v>
      </c>
      <c r="D268" s="137">
        <f>'Aktuelle data'!W12</f>
        <v>5449.9314000000004</v>
      </c>
      <c r="E268" s="143"/>
      <c r="F268" s="144">
        <f>'Aktuelle data'!X12</f>
        <v>454.16095000000001</v>
      </c>
      <c r="G268" s="145"/>
      <c r="H268" s="144">
        <f>'Aktuelle data'!Y12</f>
        <v>912.86350950000008</v>
      </c>
      <c r="I268" s="59"/>
      <c r="J268" s="146">
        <f>'Aktuelle data'!Z12</f>
        <v>6362.7949095000004</v>
      </c>
    </row>
    <row r="269" spans="2:13">
      <c r="C269" s="148">
        <v>3600</v>
      </c>
      <c r="D269" s="137">
        <f>'Aktuelle data'!W13</f>
        <v>5770.5155999999997</v>
      </c>
      <c r="E269" s="143"/>
      <c r="F269" s="144">
        <f>'Aktuelle data'!X13</f>
        <v>480.87629999999996</v>
      </c>
      <c r="G269" s="145"/>
      <c r="H269" s="144">
        <f>'Aktuelle data'!Y13</f>
        <v>966.56136300000003</v>
      </c>
      <c r="I269" s="59"/>
      <c r="J269" s="146">
        <f>'Aktuelle data'!Z13</f>
        <v>6737.0769629999995</v>
      </c>
    </row>
    <row r="270" spans="2:13">
      <c r="C270" s="148">
        <v>3800</v>
      </c>
      <c r="D270" s="137">
        <f>'Aktuelle data'!W14</f>
        <v>6091.0998</v>
      </c>
      <c r="E270" s="143"/>
      <c r="F270" s="144">
        <f>'Aktuelle data'!X14</f>
        <v>507.59165000000002</v>
      </c>
      <c r="G270" s="145"/>
      <c r="H270" s="144">
        <f>'Aktuelle data'!Y14</f>
        <v>1020.2592165000001</v>
      </c>
      <c r="I270" s="59"/>
      <c r="J270" s="146">
        <f>'Aktuelle data'!Z14</f>
        <v>7111.3590165000005</v>
      </c>
    </row>
    <row r="271" spans="2:13">
      <c r="C271" s="148">
        <v>4100</v>
      </c>
      <c r="D271" s="137">
        <f>'Aktuelle data'!W15</f>
        <v>6571.9760999999999</v>
      </c>
      <c r="E271" s="143"/>
      <c r="F271" s="144">
        <f>'Aktuelle data'!X15</f>
        <v>547.66467499999999</v>
      </c>
      <c r="G271" s="145"/>
      <c r="H271" s="144">
        <f>'Aktuelle data'!Y15</f>
        <v>1100.8059967500001</v>
      </c>
      <c r="I271" s="59"/>
      <c r="J271" s="146">
        <f>'Aktuelle data'!Z15</f>
        <v>7672.7820967500002</v>
      </c>
    </row>
    <row r="272" spans="2:13">
      <c r="C272" s="148">
        <v>4300</v>
      </c>
      <c r="D272" s="137">
        <f>'Aktuelle data'!W16</f>
        <v>6892.5603000000001</v>
      </c>
      <c r="E272" s="143"/>
      <c r="F272" s="144">
        <f>'Aktuelle data'!X16</f>
        <v>574.38002500000005</v>
      </c>
      <c r="G272" s="145"/>
      <c r="H272" s="144">
        <f>'Aktuelle data'!Y16</f>
        <v>1154.5038502499999</v>
      </c>
      <c r="I272" s="59"/>
      <c r="J272" s="146">
        <f>'Aktuelle data'!Z16</f>
        <v>8047.0641502500002</v>
      </c>
    </row>
    <row r="273" spans="3:10">
      <c r="C273" s="148">
        <v>4800</v>
      </c>
      <c r="D273" s="137">
        <f>'Aktuelle data'!W17</f>
        <v>7694.0208000000002</v>
      </c>
      <c r="E273" s="143"/>
      <c r="F273" s="144">
        <f>'Aktuelle data'!X17</f>
        <v>641.16840000000002</v>
      </c>
      <c r="G273" s="145"/>
      <c r="H273" s="144">
        <f>'Aktuelle data'!Y17</f>
        <v>1288.748484</v>
      </c>
      <c r="I273" s="59"/>
      <c r="J273" s="146">
        <f>'Aktuelle data'!Z17</f>
        <v>8982.769284</v>
      </c>
    </row>
    <row r="274" spans="3:10">
      <c r="C274" s="148">
        <v>4900</v>
      </c>
      <c r="D274" s="137">
        <f>'Aktuelle data'!W18</f>
        <v>7854.3128999999999</v>
      </c>
      <c r="E274" s="143"/>
      <c r="F274" s="144">
        <f>'Aktuelle data'!X18</f>
        <v>654.52607499999999</v>
      </c>
      <c r="G274" s="145"/>
      <c r="H274" s="144">
        <f>'Aktuelle data'!Y18</f>
        <v>1315.5974107499999</v>
      </c>
      <c r="I274" s="59"/>
      <c r="J274" s="146">
        <f>'Aktuelle data'!Z18</f>
        <v>9169.9103107499996</v>
      </c>
    </row>
    <row r="275" spans="3:10">
      <c r="C275" s="148">
        <v>5200</v>
      </c>
      <c r="D275" s="137">
        <f>'Aktuelle data'!W19</f>
        <v>8335.1892000000007</v>
      </c>
      <c r="E275" s="143"/>
      <c r="F275" s="144">
        <f>'Aktuelle data'!X19</f>
        <v>694.59910000000002</v>
      </c>
      <c r="G275" s="145"/>
      <c r="H275" s="144">
        <f>'Aktuelle data'!Y19</f>
        <v>1396.1441910000001</v>
      </c>
      <c r="I275" s="59"/>
      <c r="J275" s="146">
        <f>'Aktuelle data'!Z19</f>
        <v>9731.3333910000001</v>
      </c>
    </row>
    <row r="276" spans="3:10">
      <c r="C276" s="148">
        <v>6000</v>
      </c>
      <c r="D276" s="137">
        <f>'Aktuelle data'!W20</f>
        <v>9617.5259999999998</v>
      </c>
      <c r="E276" s="143"/>
      <c r="F276" s="144">
        <f>'Aktuelle data'!X20</f>
        <v>801.46050000000002</v>
      </c>
      <c r="G276" s="145"/>
      <c r="H276" s="144">
        <f>'Aktuelle data'!Y20</f>
        <v>1610.9356049999999</v>
      </c>
      <c r="I276" s="59"/>
      <c r="J276" s="146">
        <f>'Aktuelle data'!Z20</f>
        <v>11228.461605</v>
      </c>
    </row>
    <row r="277" spans="3:10">
      <c r="C277" s="148">
        <v>7000</v>
      </c>
      <c r="D277" s="137">
        <f>'Aktuelle data'!W21</f>
        <v>11220.447</v>
      </c>
      <c r="E277" s="143"/>
      <c r="F277" s="144">
        <f>'Aktuelle data'!X21</f>
        <v>935.03724999999997</v>
      </c>
      <c r="G277" s="145"/>
      <c r="H277" s="144">
        <f>'Aktuelle data'!Y21</f>
        <v>1879.4248725</v>
      </c>
      <c r="I277" s="59"/>
      <c r="J277" s="146">
        <f>'Aktuelle data'!Z21</f>
        <v>13099.8718725</v>
      </c>
    </row>
    <row r="278" spans="3:10">
      <c r="C278" s="149">
        <v>8100</v>
      </c>
      <c r="D278" s="137">
        <f>'Aktuelle data'!W22</f>
        <v>12983.660100000001</v>
      </c>
      <c r="E278" s="143"/>
      <c r="F278" s="144">
        <f>'Aktuelle data'!X22</f>
        <v>1081.971675</v>
      </c>
      <c r="G278" s="145"/>
      <c r="H278" s="144">
        <f>'Aktuelle data'!Y22</f>
        <v>2174.7630667500002</v>
      </c>
      <c r="I278" s="59"/>
      <c r="J278" s="146">
        <f>'Aktuelle data'!Z22</f>
        <v>15158.423166750001</v>
      </c>
    </row>
    <row r="279" spans="3:10">
      <c r="C279" s="149">
        <v>9100</v>
      </c>
      <c r="D279" s="137">
        <f>'Aktuelle data'!W23</f>
        <v>14586.581100000001</v>
      </c>
      <c r="E279" s="143"/>
      <c r="F279" s="144">
        <f>'Aktuelle data'!X23</f>
        <v>1215.5484250000002</v>
      </c>
      <c r="G279" s="145"/>
      <c r="H279" s="144">
        <f>'Aktuelle data'!Y23</f>
        <v>2443.2523342500003</v>
      </c>
      <c r="I279" s="59"/>
      <c r="J279" s="146">
        <f>'Aktuelle data'!Z23</f>
        <v>17029.833434250002</v>
      </c>
    </row>
    <row r="280" spans="3:10">
      <c r="C280" s="149">
        <v>12000</v>
      </c>
      <c r="D280" s="137">
        <f>'Aktuelle data'!W24</f>
        <v>19235.052</v>
      </c>
      <c r="E280" s="143"/>
      <c r="F280" s="144">
        <f>'Aktuelle data'!X24</f>
        <v>1602.921</v>
      </c>
      <c r="G280" s="145"/>
      <c r="H280" s="144">
        <f>'Aktuelle data'!Y24</f>
        <v>3221.8712099999998</v>
      </c>
      <c r="I280" s="59"/>
      <c r="J280" s="146">
        <f>'Aktuelle data'!Z24</f>
        <v>22456.923210000001</v>
      </c>
    </row>
    <row r="281" spans="3:10">
      <c r="C281" s="149">
        <v>20300</v>
      </c>
      <c r="D281" s="137">
        <f>'Aktuelle data'!W25</f>
        <v>32539.296300000002</v>
      </c>
      <c r="E281" s="143"/>
      <c r="F281" s="144">
        <f>'Aktuelle data'!X25</f>
        <v>2711.608025</v>
      </c>
      <c r="G281" s="145"/>
      <c r="H281" s="144">
        <f>'Aktuelle data'!Y25</f>
        <v>5450.3321302500008</v>
      </c>
      <c r="I281" s="59"/>
      <c r="J281" s="146">
        <f>'Aktuelle data'!Z25</f>
        <v>37989.628430249999</v>
      </c>
    </row>
    <row r="282" spans="3:10">
      <c r="C282" s="149">
        <v>30600</v>
      </c>
      <c r="D282" s="137">
        <f>'Aktuelle data'!W26</f>
        <v>49049.382600000004</v>
      </c>
      <c r="E282" s="143"/>
      <c r="F282" s="144">
        <f>'Aktuelle data'!X26</f>
        <v>4087.4485500000005</v>
      </c>
      <c r="G282" s="145"/>
      <c r="H282" s="144">
        <f>'Aktuelle data'!Y26</f>
        <v>8215.7715855000006</v>
      </c>
      <c r="I282" s="59"/>
      <c r="J282" s="146">
        <f>'Aktuelle data'!Z26</f>
        <v>57265.154185500003</v>
      </c>
    </row>
    <row r="283" spans="3:10" ht="16" thickBot="1">
      <c r="C283" s="90">
        <v>41000</v>
      </c>
      <c r="D283" s="137">
        <f>'Aktuelle data'!W27</f>
        <v>65719.760999999999</v>
      </c>
      <c r="E283" s="95"/>
      <c r="F283" s="92">
        <f>'Aktuelle data'!X27</f>
        <v>5476.6467499999999</v>
      </c>
      <c r="G283" s="91"/>
      <c r="H283" s="92">
        <f>'Aktuelle data'!Y27</f>
        <v>11008.059967499999</v>
      </c>
      <c r="I283" s="96"/>
      <c r="J283" s="49">
        <f>'Aktuelle data'!Z27</f>
        <v>76727.820967499996</v>
      </c>
    </row>
    <row r="284" spans="3:10">
      <c r="C284" s="50"/>
    </row>
    <row r="285" spans="3:10">
      <c r="C285" s="20" t="s">
        <v>228</v>
      </c>
    </row>
    <row r="317" spans="2:13" ht="21">
      <c r="B317" s="513" t="s">
        <v>286</v>
      </c>
      <c r="C317" s="514"/>
      <c r="D317" s="514"/>
      <c r="E317" s="514"/>
      <c r="F317" s="514"/>
      <c r="G317" s="514"/>
      <c r="H317" s="514"/>
      <c r="I317" s="514"/>
      <c r="J317" s="514"/>
      <c r="K317" s="514"/>
      <c r="L317" s="514"/>
      <c r="M317" s="514"/>
    </row>
    <row r="318" spans="2:13" ht="16" thickBot="1">
      <c r="B318" s="51"/>
    </row>
    <row r="319" spans="2:13">
      <c r="B319" s="52" t="s">
        <v>217</v>
      </c>
      <c r="C319" s="53"/>
      <c r="D319" s="53"/>
      <c r="E319" s="53"/>
      <c r="F319" s="53"/>
      <c r="G319" s="53"/>
      <c r="H319" s="53"/>
      <c r="I319" s="53"/>
      <c r="J319" s="53"/>
      <c r="K319" s="53"/>
      <c r="L319" s="53"/>
      <c r="M319" s="54"/>
    </row>
    <row r="320" spans="2:13">
      <c r="B320" s="55" t="s">
        <v>218</v>
      </c>
      <c r="M320" s="26"/>
    </row>
    <row r="321" spans="2:13">
      <c r="B321" s="55" t="s">
        <v>219</v>
      </c>
      <c r="M321" s="26"/>
    </row>
    <row r="322" spans="2:13">
      <c r="B322" s="515" t="s">
        <v>272</v>
      </c>
      <c r="C322" s="516"/>
      <c r="D322" s="516"/>
      <c r="E322" s="516"/>
      <c r="F322" s="516"/>
      <c r="G322" s="516"/>
      <c r="H322" s="516"/>
      <c r="I322" s="516"/>
      <c r="J322" s="516"/>
      <c r="K322" s="516"/>
      <c r="L322" s="516"/>
      <c r="M322" s="517"/>
    </row>
    <row r="323" spans="2:13" ht="16" thickBot="1">
      <c r="B323" s="518" t="s">
        <v>220</v>
      </c>
      <c r="C323" s="519"/>
      <c r="D323" s="519"/>
      <c r="E323" s="519"/>
      <c r="F323" s="519"/>
      <c r="G323" s="519"/>
      <c r="H323" s="519"/>
      <c r="I323" s="519"/>
      <c r="J323" s="519"/>
      <c r="K323" s="519"/>
      <c r="L323" s="519"/>
      <c r="M323" s="520"/>
    </row>
    <row r="324" spans="2:13" ht="17" thickBot="1">
      <c r="B324" s="62"/>
    </row>
    <row r="325" spans="2:13" ht="16">
      <c r="B325" s="521" t="s">
        <v>260</v>
      </c>
      <c r="C325" s="522"/>
      <c r="D325" s="522"/>
      <c r="E325" s="522"/>
      <c r="F325" s="522"/>
      <c r="G325" s="522"/>
      <c r="H325" s="522"/>
      <c r="I325" s="522"/>
      <c r="J325" s="522"/>
      <c r="K325" s="522"/>
      <c r="L325" s="522"/>
      <c r="M325" s="523"/>
    </row>
    <row r="326" spans="2:13" ht="16">
      <c r="B326" s="507" t="s">
        <v>221</v>
      </c>
      <c r="C326" s="508"/>
      <c r="D326" s="524">
        <f>'Aktuelle data'!D20</f>
        <v>456448</v>
      </c>
      <c r="E326" s="524"/>
      <c r="F326" s="524"/>
      <c r="G326" s="152" t="s">
        <v>215</v>
      </c>
      <c r="H326" s="525" t="s">
        <v>226</v>
      </c>
      <c r="I326" s="525"/>
      <c r="J326" s="525"/>
      <c r="K326" s="65" t="s">
        <v>223</v>
      </c>
      <c r="L326" s="526">
        <f>'Aktuelle data'!D20*30/37</f>
        <v>370092.97297297296</v>
      </c>
      <c r="M326" s="527"/>
    </row>
    <row r="327" spans="2:13" ht="16">
      <c r="B327" s="505" t="s">
        <v>22</v>
      </c>
      <c r="C327" s="506"/>
      <c r="D327" s="162">
        <f>'Aktuelle data'!B44</f>
        <v>1500</v>
      </c>
      <c r="E327" s="152" t="s">
        <v>215</v>
      </c>
      <c r="F327" s="153">
        <f>'Aktuelle data'!C37</f>
        <v>1.602921</v>
      </c>
      <c r="G327" s="152" t="s">
        <v>215</v>
      </c>
      <c r="H327" s="506" t="s">
        <v>226</v>
      </c>
      <c r="I327" s="506"/>
      <c r="J327" s="506"/>
      <c r="K327" s="150" t="s">
        <v>223</v>
      </c>
      <c r="L327" s="154">
        <f>'Aktuelle data'!B44*'Aktuelle data'!C37*30/37</f>
        <v>1949.4985135135132</v>
      </c>
      <c r="M327" s="82"/>
    </row>
    <row r="328" spans="2:13" ht="16">
      <c r="B328" s="507" t="s">
        <v>25</v>
      </c>
      <c r="C328" s="508"/>
      <c r="D328" s="155">
        <v>7900</v>
      </c>
      <c r="E328" s="152" t="s">
        <v>215</v>
      </c>
      <c r="F328" s="151">
        <f>'Aktuelle data'!C37</f>
        <v>1.602921</v>
      </c>
      <c r="G328" s="58"/>
      <c r="H328" s="57"/>
      <c r="I328" s="57"/>
      <c r="J328" s="150"/>
      <c r="K328" s="150" t="s">
        <v>223</v>
      </c>
      <c r="L328" s="154">
        <f>7900*'Aktuelle data'!C37</f>
        <v>12663.0759</v>
      </c>
      <c r="M328" s="163"/>
    </row>
    <row r="329" spans="2:13" ht="15.75" customHeight="1">
      <c r="B329" s="509" t="s">
        <v>33</v>
      </c>
      <c r="C329" s="510"/>
      <c r="D329" s="59"/>
      <c r="E329" s="59"/>
      <c r="F329" s="59"/>
      <c r="G329" s="59"/>
      <c r="H329" s="57"/>
      <c r="I329" s="57"/>
      <c r="J329" s="156"/>
      <c r="K329" s="156"/>
      <c r="L329" s="157">
        <f>SUM(L326:L328)</f>
        <v>384705.54738648649</v>
      </c>
      <c r="M329" s="84"/>
    </row>
    <row r="330" spans="2:13" ht="16" thickBot="1">
      <c r="B330" s="511" t="s">
        <v>34</v>
      </c>
      <c r="C330" s="512"/>
      <c r="D330" s="35"/>
      <c r="E330" s="35"/>
      <c r="F330" s="35"/>
      <c r="G330" s="35"/>
      <c r="H330" s="56"/>
      <c r="I330" s="56"/>
      <c r="J330" s="69"/>
      <c r="K330" s="69"/>
      <c r="L330" s="70">
        <f>L329/12</f>
        <v>32058.795615540541</v>
      </c>
      <c r="M330" s="64"/>
    </row>
    <row r="332" spans="2:13" ht="34">
      <c r="B332" s="60" t="s">
        <v>222</v>
      </c>
    </row>
    <row r="333" spans="2:13" ht="21">
      <c r="B333" s="513" t="s">
        <v>288</v>
      </c>
      <c r="C333" s="514"/>
      <c r="D333" s="514"/>
      <c r="E333" s="514"/>
      <c r="F333" s="514"/>
      <c r="G333" s="514"/>
      <c r="H333" s="514"/>
      <c r="I333" s="514"/>
      <c r="J333" s="514"/>
      <c r="K333" s="514"/>
      <c r="L333" s="514"/>
      <c r="M333" s="514"/>
    </row>
    <row r="335" spans="2:13">
      <c r="B335" s="491" t="s">
        <v>236</v>
      </c>
      <c r="C335" s="491"/>
      <c r="D335" s="491"/>
      <c r="E335" s="491"/>
      <c r="F335" s="491"/>
      <c r="G335" s="47"/>
      <c r="H335" s="47"/>
      <c r="I335" s="47"/>
      <c r="J335" s="47"/>
      <c r="K335" s="47"/>
      <c r="L335" s="119">
        <f>'Aktuelle data'!C38</f>
        <v>16.75</v>
      </c>
      <c r="M335" s="47"/>
    </row>
    <row r="336" spans="2:13" ht="27" customHeight="1">
      <c r="B336" s="491" t="s">
        <v>238</v>
      </c>
      <c r="C336" s="491"/>
      <c r="D336" s="491"/>
      <c r="E336" s="491"/>
      <c r="F336" s="491"/>
      <c r="G336" s="491"/>
      <c r="H336" s="491"/>
      <c r="I336" s="491"/>
      <c r="J336" s="491"/>
      <c r="K336" s="491"/>
      <c r="L336" s="491"/>
    </row>
    <row r="337" spans="1:13">
      <c r="A337" s="2"/>
      <c r="B337" s="492" t="s">
        <v>237</v>
      </c>
      <c r="C337" s="492"/>
      <c r="D337" s="492"/>
      <c r="E337" s="492"/>
      <c r="F337" s="492"/>
      <c r="G337" s="492"/>
      <c r="H337" s="492"/>
      <c r="I337" s="492"/>
      <c r="J337" s="492"/>
      <c r="K337" s="492"/>
      <c r="L337" s="492"/>
      <c r="M337" s="492"/>
    </row>
    <row r="338" spans="1:13" ht="16">
      <c r="B338" s="62"/>
    </row>
    <row r="339" spans="1:13" s="2" customFormat="1" ht="32.25" customHeight="1">
      <c r="A339"/>
      <c r="B339" s="493" t="s">
        <v>287</v>
      </c>
      <c r="C339" s="493"/>
      <c r="D339" s="493"/>
      <c r="E339" s="493"/>
      <c r="F339" s="493"/>
      <c r="G339" s="493"/>
      <c r="H339" s="493"/>
      <c r="I339" s="493"/>
      <c r="J339" s="493"/>
      <c r="K339" s="493"/>
      <c r="L339" s="493"/>
      <c r="M339" s="493"/>
    </row>
    <row r="340" spans="1:13" ht="17" thickBot="1">
      <c r="B340" s="62"/>
    </row>
    <row r="341" spans="1:13" ht="64">
      <c r="B341" s="250" t="s">
        <v>224</v>
      </c>
      <c r="C341" s="494">
        <f>'Aktuelle data'!R20</f>
        <v>456448</v>
      </c>
      <c r="D341" s="494"/>
      <c r="E341" s="78" t="s">
        <v>215</v>
      </c>
      <c r="F341" s="79">
        <f>'Aktuelle data'!C38</f>
        <v>16.75</v>
      </c>
      <c r="G341" s="79" t="s">
        <v>225</v>
      </c>
      <c r="H341" s="80">
        <v>100</v>
      </c>
      <c r="I341" s="80" t="s">
        <v>215</v>
      </c>
      <c r="J341" s="80" t="s">
        <v>226</v>
      </c>
      <c r="K341" s="81" t="s">
        <v>223</v>
      </c>
      <c r="L341" s="86">
        <f>'Aktuelle data'!C38*'Aktuelle data'!R20*30/37/100</f>
        <v>61990.572972972972</v>
      </c>
    </row>
    <row r="342" spans="1:13" ht="96">
      <c r="B342" s="251" t="s">
        <v>273</v>
      </c>
      <c r="C342" s="490">
        <f>'Aktuelle data'!B44</f>
        <v>1500</v>
      </c>
      <c r="D342" s="490"/>
      <c r="E342" s="65" t="s">
        <v>215</v>
      </c>
      <c r="F342" s="77">
        <f>'Aktuelle data'!C37</f>
        <v>1.602921</v>
      </c>
      <c r="G342" s="65" t="s">
        <v>215</v>
      </c>
      <c r="H342" s="76">
        <f>'Aktuelle data'!C38</f>
        <v>16.75</v>
      </c>
      <c r="I342" s="65" t="s">
        <v>215</v>
      </c>
      <c r="J342" s="57" t="s">
        <v>227</v>
      </c>
      <c r="K342" s="65" t="s">
        <v>223</v>
      </c>
      <c r="L342" s="82">
        <v>294.32</v>
      </c>
    </row>
    <row r="343" spans="1:13" ht="64">
      <c r="A343" s="75"/>
      <c r="B343" s="251" t="s">
        <v>241</v>
      </c>
      <c r="C343" s="490">
        <v>7900</v>
      </c>
      <c r="D343" s="490"/>
      <c r="E343" s="57" t="s">
        <v>215</v>
      </c>
      <c r="F343" s="65">
        <f>'Aktuelle data'!C37</f>
        <v>1.602921</v>
      </c>
      <c r="G343" s="57" t="s">
        <v>215</v>
      </c>
      <c r="H343" s="76">
        <f>'Aktuelle data'!C38</f>
        <v>16.75</v>
      </c>
      <c r="I343" s="65" t="s">
        <v>225</v>
      </c>
      <c r="J343" s="65">
        <v>100</v>
      </c>
      <c r="K343" s="65" t="s">
        <v>223</v>
      </c>
      <c r="L343" s="83">
        <f>7900*'Aktuelle data'!C37*'Aktuelle data'!C38/100</f>
        <v>2121.0652132499999</v>
      </c>
    </row>
    <row r="344" spans="1:13" ht="48">
      <c r="B344" s="251" t="s">
        <v>243</v>
      </c>
      <c r="C344" s="58"/>
      <c r="D344" s="59"/>
      <c r="E344" s="59"/>
      <c r="F344" s="59"/>
      <c r="G344" s="59"/>
      <c r="H344" s="57"/>
      <c r="I344" s="57"/>
      <c r="J344" s="59"/>
      <c r="K344" s="59"/>
      <c r="L344" s="84">
        <f>SUM(L341:L343)</f>
        <v>64405.958186222968</v>
      </c>
    </row>
    <row r="345" spans="1:13" ht="49" thickBot="1">
      <c r="B345" s="252" t="s">
        <v>244</v>
      </c>
      <c r="C345" s="85"/>
      <c r="D345" s="35"/>
      <c r="E345" s="35"/>
      <c r="F345" s="35"/>
      <c r="G345" s="35"/>
      <c r="H345" s="56"/>
      <c r="I345" s="56"/>
      <c r="J345" s="35"/>
      <c r="K345" s="35"/>
      <c r="L345" s="64">
        <f>L344/12</f>
        <v>5367.163182185247</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2:13" ht="20">
      <c r="B353" s="93" t="s">
        <v>289</v>
      </c>
      <c r="C353" s="93"/>
      <c r="D353" s="93"/>
      <c r="E353" s="93"/>
      <c r="F353" s="93"/>
      <c r="G353" s="94"/>
      <c r="H353" s="93"/>
      <c r="I353" s="93"/>
      <c r="J353" s="93"/>
      <c r="K353" s="93"/>
      <c r="L353" s="93"/>
      <c r="M353" s="74"/>
    </row>
    <row r="354" spans="2:13">
      <c r="B354" s="71"/>
    </row>
    <row r="355" spans="2:13" ht="31.25" customHeight="1">
      <c r="B355" s="495" t="s">
        <v>231</v>
      </c>
      <c r="C355" s="495"/>
      <c r="D355" s="495"/>
      <c r="E355" s="495"/>
      <c r="F355" s="495"/>
      <c r="G355" s="495"/>
      <c r="H355" s="495"/>
      <c r="I355" s="495"/>
      <c r="J355" s="495"/>
      <c r="K355" s="495"/>
      <c r="L355" s="28">
        <f>'Aktuelle data'!C132</f>
        <v>0</v>
      </c>
    </row>
    <row r="356" spans="2:13">
      <c r="B356" s="27"/>
      <c r="C356" s="27"/>
      <c r="D356" s="27"/>
      <c r="E356" s="27"/>
      <c r="F356" s="27"/>
      <c r="G356" s="27"/>
      <c r="H356" s="27"/>
      <c r="I356" s="27"/>
      <c r="J356" s="27"/>
      <c r="K356" s="27"/>
      <c r="L356" s="28"/>
    </row>
    <row r="357" spans="2:13" ht="20">
      <c r="B357" s="496" t="s">
        <v>290</v>
      </c>
      <c r="C357" s="496"/>
      <c r="D357" s="496"/>
      <c r="E357" s="496"/>
      <c r="F357" s="496"/>
      <c r="G357" s="496"/>
      <c r="H357" s="496"/>
      <c r="I357" s="496"/>
      <c r="J357" s="496"/>
      <c r="K357" s="496"/>
      <c r="L357" s="496"/>
    </row>
    <row r="358" spans="2:13" ht="21" thickBot="1">
      <c r="B358" s="74"/>
      <c r="C358" s="74"/>
      <c r="D358" s="74"/>
      <c r="E358" s="74"/>
      <c r="F358" s="74"/>
      <c r="G358" s="74"/>
      <c r="H358" s="74"/>
      <c r="I358" s="74"/>
      <c r="J358" s="74"/>
      <c r="K358" s="74"/>
      <c r="L358" s="74"/>
    </row>
    <row r="359" spans="2:13">
      <c r="C359" s="497" t="s">
        <v>216</v>
      </c>
      <c r="D359" s="498"/>
      <c r="E359" s="498"/>
      <c r="F359" s="498"/>
      <c r="G359" s="498"/>
      <c r="H359" s="498"/>
      <c r="I359" s="498"/>
      <c r="J359" s="253">
        <f>'Aktuelle data'!C132</f>
        <v>0</v>
      </c>
    </row>
    <row r="360" spans="2:13" ht="55.5" customHeight="1">
      <c r="C360" s="254" t="s">
        <v>213</v>
      </c>
      <c r="D360" s="255" t="s">
        <v>209</v>
      </c>
      <c r="E360" s="499" t="s">
        <v>210</v>
      </c>
      <c r="F360" s="499"/>
      <c r="G360" s="499" t="s">
        <v>211</v>
      </c>
      <c r="H360" s="499"/>
      <c r="I360" s="499" t="s">
        <v>212</v>
      </c>
      <c r="J360" s="500"/>
    </row>
    <row r="361" spans="2:13">
      <c r="C361" s="195">
        <v>1000</v>
      </c>
      <c r="D361" s="132">
        <f>'Aktuelle data'!AD102</f>
        <v>0</v>
      </c>
      <c r="E361" s="194"/>
      <c r="F361" s="133">
        <f>'Aktuelle data'!AE102</f>
        <v>0</v>
      </c>
      <c r="G361" s="194"/>
      <c r="H361" s="133">
        <f>'Aktuelle data'!AF102</f>
        <v>0</v>
      </c>
      <c r="I361" s="194"/>
      <c r="J361" s="134">
        <f>'Aktuelle data'!AG102</f>
        <v>0</v>
      </c>
    </row>
    <row r="362" spans="2:13">
      <c r="C362" s="131">
        <v>1500</v>
      </c>
      <c r="D362" s="132">
        <f>'Aktuelle data'!AD103</f>
        <v>0</v>
      </c>
      <c r="E362" s="59"/>
      <c r="F362" s="133">
        <f>'Aktuelle data'!AE103</f>
        <v>0</v>
      </c>
      <c r="G362" s="59"/>
      <c r="H362" s="133">
        <f>'Aktuelle data'!AF103</f>
        <v>0</v>
      </c>
      <c r="I362" s="59"/>
      <c r="J362" s="134">
        <f>'Aktuelle data'!AG103</f>
        <v>0</v>
      </c>
    </row>
    <row r="363" spans="2:13">
      <c r="C363" s="131">
        <v>2500</v>
      </c>
      <c r="D363" s="132">
        <f>'Aktuelle data'!AD104</f>
        <v>0</v>
      </c>
      <c r="E363" s="59"/>
      <c r="F363" s="133">
        <f>'Aktuelle data'!AE104</f>
        <v>0</v>
      </c>
      <c r="G363" s="59"/>
      <c r="H363" s="133">
        <f>'Aktuelle data'!AF104</f>
        <v>0</v>
      </c>
      <c r="I363" s="59"/>
      <c r="J363" s="134">
        <f>'Aktuelle data'!AG104</f>
        <v>0</v>
      </c>
    </row>
    <row r="364" spans="2:13">
      <c r="C364" s="131">
        <v>2800</v>
      </c>
      <c r="D364" s="132">
        <f>'Aktuelle data'!AD105</f>
        <v>0</v>
      </c>
      <c r="E364" s="59"/>
      <c r="F364" s="133">
        <f>'Aktuelle data'!AE105</f>
        <v>0</v>
      </c>
      <c r="G364" s="59"/>
      <c r="H364" s="133">
        <f>'Aktuelle data'!AF105</f>
        <v>0</v>
      </c>
      <c r="I364" s="59"/>
      <c r="J364" s="134">
        <f>'Aktuelle data'!AG105</f>
        <v>0</v>
      </c>
    </row>
    <row r="365" spans="2:13">
      <c r="C365" s="131">
        <v>3100</v>
      </c>
      <c r="D365" s="132">
        <f>'Aktuelle data'!AD106</f>
        <v>0</v>
      </c>
      <c r="E365" s="59"/>
      <c r="F365" s="133">
        <f>'Aktuelle data'!AE106</f>
        <v>0</v>
      </c>
      <c r="G365" s="59"/>
      <c r="H365" s="133">
        <f>'Aktuelle data'!AF106</f>
        <v>0</v>
      </c>
      <c r="I365" s="59"/>
      <c r="J365" s="134">
        <f>'Aktuelle data'!AG106</f>
        <v>0</v>
      </c>
    </row>
    <row r="366" spans="2:13">
      <c r="C366" s="131">
        <v>3400</v>
      </c>
      <c r="D366" s="132">
        <f>'Aktuelle data'!AD107</f>
        <v>0</v>
      </c>
      <c r="E366" s="59"/>
      <c r="F366" s="133">
        <f>'Aktuelle data'!AE107</f>
        <v>0</v>
      </c>
      <c r="G366" s="59"/>
      <c r="H366" s="133">
        <f>'Aktuelle data'!AF107</f>
        <v>0</v>
      </c>
      <c r="I366" s="59"/>
      <c r="J366" s="134">
        <f>'Aktuelle data'!AG107</f>
        <v>0</v>
      </c>
    </row>
    <row r="367" spans="2:13">
      <c r="C367" s="131">
        <v>3600</v>
      </c>
      <c r="D367" s="132">
        <f>'Aktuelle data'!AD108</f>
        <v>0</v>
      </c>
      <c r="E367" s="59"/>
      <c r="F367" s="133">
        <f>'Aktuelle data'!AE108</f>
        <v>0</v>
      </c>
      <c r="G367" s="59"/>
      <c r="H367" s="133">
        <f>'Aktuelle data'!AF108</f>
        <v>0</v>
      </c>
      <c r="I367" s="59"/>
      <c r="J367" s="134">
        <f>'Aktuelle data'!AG108</f>
        <v>0</v>
      </c>
    </row>
    <row r="368" spans="2:13">
      <c r="C368" s="131">
        <v>3800</v>
      </c>
      <c r="D368" s="132">
        <f>'Aktuelle data'!AD109</f>
        <v>0</v>
      </c>
      <c r="E368" s="59"/>
      <c r="F368" s="133">
        <f>'Aktuelle data'!AE109</f>
        <v>0</v>
      </c>
      <c r="G368" s="59"/>
      <c r="H368" s="133">
        <f>'Aktuelle data'!AF109</f>
        <v>0</v>
      </c>
      <c r="I368" s="59"/>
      <c r="J368" s="134">
        <f>'Aktuelle data'!AG109</f>
        <v>0</v>
      </c>
    </row>
    <row r="369" spans="2:10">
      <c r="C369" s="131">
        <v>4100</v>
      </c>
      <c r="D369" s="132">
        <f>'Aktuelle data'!AD110</f>
        <v>0</v>
      </c>
      <c r="E369" s="59"/>
      <c r="F369" s="133">
        <f>'Aktuelle data'!AE110</f>
        <v>0</v>
      </c>
      <c r="G369" s="59"/>
      <c r="H369" s="133">
        <f>'Aktuelle data'!AF110</f>
        <v>0</v>
      </c>
      <c r="I369" s="59"/>
      <c r="J369" s="134">
        <f>'Aktuelle data'!AG110</f>
        <v>0</v>
      </c>
    </row>
    <row r="370" spans="2:10">
      <c r="C370" s="131">
        <v>4300</v>
      </c>
      <c r="D370" s="132">
        <f>'Aktuelle data'!AD111</f>
        <v>0</v>
      </c>
      <c r="E370" s="59"/>
      <c r="F370" s="133">
        <f>'Aktuelle data'!AE111</f>
        <v>0</v>
      </c>
      <c r="G370" s="59"/>
      <c r="H370" s="133">
        <f>'Aktuelle data'!AF111</f>
        <v>0</v>
      </c>
      <c r="I370" s="59"/>
      <c r="J370" s="134">
        <f>'Aktuelle data'!AG111</f>
        <v>0</v>
      </c>
    </row>
    <row r="371" spans="2:10">
      <c r="C371" s="131">
        <v>4800</v>
      </c>
      <c r="D371" s="132">
        <f>'Aktuelle data'!AD112</f>
        <v>0</v>
      </c>
      <c r="E371" s="59"/>
      <c r="F371" s="133">
        <f>'Aktuelle data'!AE112</f>
        <v>0</v>
      </c>
      <c r="G371" s="59"/>
      <c r="H371" s="133">
        <f>'Aktuelle data'!AF112</f>
        <v>0</v>
      </c>
      <c r="I371" s="59"/>
      <c r="J371" s="134">
        <f>'Aktuelle data'!AG112</f>
        <v>0</v>
      </c>
    </row>
    <row r="372" spans="2:10">
      <c r="C372" s="131">
        <v>4900</v>
      </c>
      <c r="D372" s="132">
        <f>'Aktuelle data'!AD113</f>
        <v>0</v>
      </c>
      <c r="E372" s="59"/>
      <c r="F372" s="133">
        <f>'Aktuelle data'!AE113</f>
        <v>0</v>
      </c>
      <c r="G372" s="59"/>
      <c r="H372" s="133">
        <f>'Aktuelle data'!AF113</f>
        <v>0</v>
      </c>
      <c r="I372" s="59"/>
      <c r="J372" s="134">
        <f>'Aktuelle data'!AG113</f>
        <v>0</v>
      </c>
    </row>
    <row r="373" spans="2:10">
      <c r="C373" s="131">
        <v>5200</v>
      </c>
      <c r="D373" s="132">
        <f>'Aktuelle data'!AD114</f>
        <v>0</v>
      </c>
      <c r="E373" s="59"/>
      <c r="F373" s="133">
        <f>'Aktuelle data'!AE114</f>
        <v>0</v>
      </c>
      <c r="G373" s="59"/>
      <c r="H373" s="133">
        <f>'Aktuelle data'!AF114</f>
        <v>0</v>
      </c>
      <c r="I373" s="59"/>
      <c r="J373" s="134">
        <f>'Aktuelle data'!AG114</f>
        <v>0</v>
      </c>
    </row>
    <row r="374" spans="2:10">
      <c r="C374" s="131">
        <v>6000</v>
      </c>
      <c r="D374" s="132">
        <f>'Aktuelle data'!AD115</f>
        <v>0</v>
      </c>
      <c r="E374" s="59"/>
      <c r="F374" s="133">
        <f>'Aktuelle data'!AE115</f>
        <v>0</v>
      </c>
      <c r="G374" s="59"/>
      <c r="H374" s="133">
        <f>'Aktuelle data'!AF115</f>
        <v>0</v>
      </c>
      <c r="I374" s="59"/>
      <c r="J374" s="134">
        <f>'Aktuelle data'!AG115</f>
        <v>0</v>
      </c>
    </row>
    <row r="375" spans="2:10">
      <c r="C375" s="131">
        <v>7000</v>
      </c>
      <c r="D375" s="132">
        <f>'Aktuelle data'!AD116</f>
        <v>0</v>
      </c>
      <c r="E375" s="59"/>
      <c r="F375" s="133">
        <f>'Aktuelle data'!AE116</f>
        <v>0</v>
      </c>
      <c r="G375" s="59"/>
      <c r="H375" s="133">
        <f>'Aktuelle data'!AF116</f>
        <v>0</v>
      </c>
      <c r="I375" s="59"/>
      <c r="J375" s="134">
        <f>'Aktuelle data'!AG116</f>
        <v>0</v>
      </c>
    </row>
    <row r="376" spans="2:10">
      <c r="C376" s="135">
        <v>8100</v>
      </c>
      <c r="D376" s="132">
        <f>'Aktuelle data'!AD117</f>
        <v>0</v>
      </c>
      <c r="E376" s="59"/>
      <c r="F376" s="133">
        <f>'Aktuelle data'!AE117</f>
        <v>0</v>
      </c>
      <c r="G376" s="59"/>
      <c r="H376" s="133">
        <f>'Aktuelle data'!AF117</f>
        <v>0</v>
      </c>
      <c r="I376" s="59"/>
      <c r="J376" s="134">
        <f>'Aktuelle data'!AG117</f>
        <v>0</v>
      </c>
    </row>
    <row r="377" spans="2:10">
      <c r="C377" s="135">
        <v>9100</v>
      </c>
      <c r="D377" s="132">
        <f>'Aktuelle data'!AD118</f>
        <v>0</v>
      </c>
      <c r="E377" s="59"/>
      <c r="F377" s="133">
        <f>'Aktuelle data'!AE118</f>
        <v>0</v>
      </c>
      <c r="G377" s="59"/>
      <c r="H377" s="133">
        <f>'Aktuelle data'!AF118</f>
        <v>0</v>
      </c>
      <c r="I377" s="59"/>
      <c r="J377" s="134">
        <f>'Aktuelle data'!AG118</f>
        <v>0</v>
      </c>
    </row>
    <row r="378" spans="2:10">
      <c r="C378" s="135">
        <v>12000</v>
      </c>
      <c r="D378" s="132">
        <f>'Aktuelle data'!AD119</f>
        <v>0</v>
      </c>
      <c r="E378" s="59"/>
      <c r="F378" s="133">
        <f>'Aktuelle data'!AE119</f>
        <v>0</v>
      </c>
      <c r="G378" s="59"/>
      <c r="H378" s="133">
        <f>'Aktuelle data'!AF119</f>
        <v>0</v>
      </c>
      <c r="I378" s="59"/>
      <c r="J378" s="134">
        <f>'Aktuelle data'!AG119</f>
        <v>0</v>
      </c>
    </row>
    <row r="379" spans="2:10">
      <c r="C379" s="135">
        <v>20300</v>
      </c>
      <c r="D379" s="132">
        <f>'Aktuelle data'!AD120</f>
        <v>0</v>
      </c>
      <c r="E379" s="59"/>
      <c r="F379" s="133">
        <f>'Aktuelle data'!AE120</f>
        <v>0</v>
      </c>
      <c r="G379" s="59"/>
      <c r="H379" s="133">
        <f>'Aktuelle data'!AF120</f>
        <v>0</v>
      </c>
      <c r="I379" s="59"/>
      <c r="J379" s="134">
        <f>'Aktuelle data'!AG120</f>
        <v>0</v>
      </c>
    </row>
    <row r="380" spans="2:10">
      <c r="C380" s="135">
        <v>30600</v>
      </c>
      <c r="D380" s="132">
        <f>'Aktuelle data'!AD121</f>
        <v>0</v>
      </c>
      <c r="E380" s="59"/>
      <c r="F380" s="133">
        <f>'Aktuelle data'!AE121</f>
        <v>0</v>
      </c>
      <c r="G380" s="59"/>
      <c r="H380" s="133">
        <f>'Aktuelle data'!AF121</f>
        <v>0</v>
      </c>
      <c r="I380" s="59"/>
      <c r="J380" s="134">
        <f>'Aktuelle data'!AG121</f>
        <v>0</v>
      </c>
    </row>
    <row r="381" spans="2:10" ht="16" thickBot="1">
      <c r="B381" s="30" t="s">
        <v>232</v>
      </c>
      <c r="C381" s="89">
        <v>41000</v>
      </c>
      <c r="D381" s="132">
        <f>'Aktuelle data'!AD122</f>
        <v>0</v>
      </c>
      <c r="E381" s="35"/>
      <c r="F381" s="133">
        <f>'Aktuelle data'!AE122</f>
        <v>0</v>
      </c>
      <c r="G381" s="35"/>
      <c r="H381" s="133">
        <f>'Aktuelle data'!AF122</f>
        <v>0</v>
      </c>
      <c r="I381" s="35"/>
      <c r="J381" s="134">
        <f>'Aktuelle data'!AG122</f>
        <v>0</v>
      </c>
    </row>
    <row r="382" spans="2:10">
      <c r="B382" s="72"/>
    </row>
    <row r="383" spans="2:10">
      <c r="B383" s="29" t="s">
        <v>230</v>
      </c>
    </row>
    <row r="415" spans="2:12" ht="21">
      <c r="B415" s="572" t="s">
        <v>291</v>
      </c>
      <c r="C415" s="572"/>
      <c r="D415" s="572"/>
      <c r="E415" s="572"/>
      <c r="F415" s="572"/>
      <c r="G415" s="572"/>
      <c r="H415" s="572"/>
      <c r="I415" s="572"/>
      <c r="J415" s="572"/>
      <c r="K415" s="572"/>
      <c r="L415" s="572"/>
    </row>
    <row r="416" spans="2:12" ht="16" thickBot="1"/>
    <row r="417" spans="2:13">
      <c r="B417" s="573" t="s">
        <v>234</v>
      </c>
      <c r="C417" s="574"/>
      <c r="D417" s="574"/>
      <c r="E417" s="574"/>
      <c r="F417" s="574"/>
      <c r="G417" s="574"/>
      <c r="H417" s="574"/>
      <c r="I417" s="574"/>
      <c r="J417" s="54"/>
    </row>
    <row r="418" spans="2:13">
      <c r="B418" s="575" t="s">
        <v>274</v>
      </c>
      <c r="C418" s="576"/>
      <c r="D418" s="576"/>
      <c r="E418" s="576"/>
      <c r="J418" s="26"/>
    </row>
    <row r="419" spans="2:13" ht="16" thickBot="1">
      <c r="B419" s="577" t="s">
        <v>275</v>
      </c>
      <c r="C419" s="578"/>
      <c r="D419" s="578"/>
      <c r="E419" s="578"/>
      <c r="F419" s="578"/>
      <c r="G419" s="578"/>
      <c r="H419" s="578"/>
      <c r="I419" s="578"/>
      <c r="J419" s="579"/>
    </row>
    <row r="420" spans="2:13" ht="16" thickBot="1"/>
    <row r="421" spans="2:13">
      <c r="B421" s="580" t="s">
        <v>261</v>
      </c>
      <c r="C421" s="581"/>
      <c r="D421" s="581"/>
      <c r="E421" s="581"/>
      <c r="F421" s="581"/>
      <c r="G421" s="581"/>
      <c r="H421" s="581"/>
      <c r="I421" s="581"/>
      <c r="J421" s="581"/>
      <c r="K421" s="581"/>
      <c r="L421" s="582"/>
    </row>
    <row r="422" spans="2:13">
      <c r="B422" s="583" t="s">
        <v>32</v>
      </c>
      <c r="C422" s="584"/>
      <c r="D422" s="59"/>
      <c r="E422" s="59"/>
      <c r="F422" s="59"/>
      <c r="G422" s="59"/>
      <c r="H422" s="59"/>
      <c r="I422" s="59"/>
      <c r="J422" s="59"/>
      <c r="K422" s="59"/>
      <c r="L422" s="114">
        <f>'Aktuelle data'!E124</f>
        <v>0</v>
      </c>
    </row>
    <row r="423" spans="2:13">
      <c r="B423" s="158" t="s">
        <v>235</v>
      </c>
      <c r="C423" s="153"/>
      <c r="D423" s="153"/>
      <c r="E423" s="153"/>
      <c r="F423" s="159">
        <v>30000</v>
      </c>
      <c r="G423" s="59" t="s">
        <v>215</v>
      </c>
      <c r="H423" s="59">
        <f>'Aktuelle data'!C132</f>
        <v>0</v>
      </c>
      <c r="I423" s="59"/>
      <c r="J423" s="59"/>
      <c r="K423" s="59" t="s">
        <v>223</v>
      </c>
      <c r="L423" s="114">
        <f>30000*'Aktuelle data'!C132</f>
        <v>0</v>
      </c>
    </row>
    <row r="424" spans="2:13">
      <c r="B424" s="160" t="s">
        <v>33</v>
      </c>
      <c r="C424" s="59"/>
      <c r="D424" s="59"/>
      <c r="E424" s="59"/>
      <c r="F424" s="59"/>
      <c r="G424" s="59"/>
      <c r="H424" s="59"/>
      <c r="I424" s="59"/>
      <c r="J424" s="59"/>
      <c r="K424" s="59"/>
      <c r="L424" s="115">
        <f>SUM(L422:L423)</f>
        <v>0</v>
      </c>
    </row>
    <row r="425" spans="2:13" ht="16" thickBot="1">
      <c r="B425" s="585" t="s">
        <v>34</v>
      </c>
      <c r="C425" s="586"/>
      <c r="D425" s="35"/>
      <c r="E425" s="35"/>
      <c r="F425" s="35"/>
      <c r="G425" s="35"/>
      <c r="H425" s="35"/>
      <c r="I425" s="35"/>
      <c r="J425" s="35"/>
      <c r="K425" s="35"/>
      <c r="L425" s="107">
        <f>L424/12</f>
        <v>0</v>
      </c>
    </row>
    <row r="427" spans="2:13" ht="20">
      <c r="B427" s="571" t="s">
        <v>292</v>
      </c>
      <c r="C427" s="571"/>
      <c r="D427" s="571"/>
      <c r="E427" s="571"/>
      <c r="F427" s="571"/>
      <c r="G427" s="571"/>
      <c r="H427" s="571"/>
      <c r="I427" s="571"/>
      <c r="J427" s="571"/>
      <c r="K427" s="571"/>
      <c r="L427" s="571"/>
      <c r="M427" s="88"/>
    </row>
    <row r="428" spans="2:13" ht="20">
      <c r="B428" s="94"/>
      <c r="C428" s="94"/>
      <c r="D428" s="94"/>
      <c r="E428" s="94"/>
      <c r="F428" s="94"/>
      <c r="G428" s="94"/>
      <c r="H428" s="94"/>
      <c r="I428" s="94"/>
      <c r="J428" s="94"/>
      <c r="K428" s="94"/>
      <c r="L428" s="94"/>
      <c r="M428" s="88"/>
    </row>
    <row r="429" spans="2:13">
      <c r="B429" s="587" t="s">
        <v>239</v>
      </c>
      <c r="C429" s="587"/>
      <c r="D429" s="587"/>
      <c r="E429" s="587"/>
      <c r="F429" s="587"/>
      <c r="G429" s="587"/>
      <c r="H429" s="587"/>
      <c r="I429" s="587"/>
      <c r="J429" s="587"/>
      <c r="K429" s="587"/>
      <c r="L429" s="1">
        <f>'Aktuelle data'!C134</f>
        <v>0</v>
      </c>
    </row>
    <row r="430" spans="2:13" ht="30.25" customHeight="1">
      <c r="B430" s="457" t="s">
        <v>240</v>
      </c>
      <c r="C430" s="502"/>
      <c r="D430" s="502"/>
      <c r="E430" s="502"/>
      <c r="F430" s="502"/>
      <c r="G430" s="502"/>
      <c r="H430" s="502"/>
      <c r="I430" s="502"/>
      <c r="J430" s="502"/>
      <c r="K430" s="502"/>
      <c r="L430" s="502"/>
      <c r="M430" s="502"/>
    </row>
    <row r="432" spans="2:13" ht="31" customHeight="1">
      <c r="B432" s="501" t="s">
        <v>293</v>
      </c>
      <c r="C432" s="501"/>
      <c r="D432" s="501"/>
      <c r="E432" s="501"/>
      <c r="F432" s="501"/>
      <c r="G432" s="501"/>
      <c r="H432" s="501"/>
      <c r="I432" s="501"/>
      <c r="J432" s="501"/>
      <c r="K432" s="501"/>
      <c r="L432" s="501"/>
    </row>
    <row r="433" spans="2:12" ht="16" thickBot="1">
      <c r="B433" s="99"/>
    </row>
    <row r="434" spans="2:12" ht="61">
      <c r="B434" s="256" t="s">
        <v>242</v>
      </c>
      <c r="C434" s="503">
        <f>'Aktuelle data'!S124</f>
        <v>0</v>
      </c>
      <c r="D434" s="503"/>
      <c r="E434" s="108" t="s">
        <v>215</v>
      </c>
      <c r="F434" s="109">
        <f>'Aktuelle data'!C134</f>
        <v>0</v>
      </c>
      <c r="G434" s="110" t="s">
        <v>225</v>
      </c>
      <c r="H434" s="108">
        <v>100</v>
      </c>
      <c r="I434" s="108"/>
      <c r="J434" s="108"/>
      <c r="K434" s="110" t="s">
        <v>223</v>
      </c>
      <c r="L434" s="111">
        <f>'Aktuelle data'!S124*'Aktuelle data'!C134/100</f>
        <v>0</v>
      </c>
    </row>
    <row r="435" spans="2:12" ht="64">
      <c r="B435" s="257" t="s">
        <v>241</v>
      </c>
      <c r="C435" s="504">
        <v>30000</v>
      </c>
      <c r="D435" s="504"/>
      <c r="E435" s="59" t="s">
        <v>215</v>
      </c>
      <c r="F435" s="59">
        <f>'Aktuelle data'!C132</f>
        <v>0</v>
      </c>
      <c r="G435" s="59" t="s">
        <v>215</v>
      </c>
      <c r="H435" s="112">
        <f>'Aktuelle data'!C134</f>
        <v>0</v>
      </c>
      <c r="I435" s="59" t="s">
        <v>225</v>
      </c>
      <c r="J435" s="113">
        <v>100</v>
      </c>
      <c r="K435" s="59" t="s">
        <v>223</v>
      </c>
      <c r="L435" s="114">
        <f>30000*'Aktuelle data'!C132*'Aktuelle data'!C134/100</f>
        <v>0</v>
      </c>
    </row>
    <row r="436" spans="2:12" ht="48">
      <c r="B436" s="258" t="s">
        <v>243</v>
      </c>
      <c r="C436" s="59"/>
      <c r="D436" s="59"/>
      <c r="E436" s="59"/>
      <c r="F436" s="59"/>
      <c r="G436" s="59"/>
      <c r="H436" s="59"/>
      <c r="I436" s="59"/>
      <c r="J436" s="59"/>
      <c r="K436" s="59"/>
      <c r="L436" s="115">
        <f>SUM(L434:L435)</f>
        <v>0</v>
      </c>
    </row>
    <row r="437" spans="2:12" ht="49" thickBot="1">
      <c r="B437" s="259" t="s">
        <v>244</v>
      </c>
      <c r="C437" s="35"/>
      <c r="D437" s="35"/>
      <c r="E437" s="35"/>
      <c r="F437" s="35"/>
      <c r="G437" s="35"/>
      <c r="H437" s="35"/>
      <c r="I437" s="35"/>
      <c r="J437" s="35"/>
      <c r="K437" s="35"/>
      <c r="L437" s="107">
        <f>L436/12</f>
        <v>0</v>
      </c>
    </row>
    <row r="438" spans="2:12">
      <c r="B438" s="100"/>
      <c r="C438" s="101"/>
      <c r="D438" s="102"/>
    </row>
    <row r="439" spans="2:12">
      <c r="B439" s="100"/>
      <c r="C439" s="103"/>
      <c r="D439" s="104"/>
    </row>
    <row r="440" spans="2:12">
      <c r="B440" s="105"/>
      <c r="C440" s="101"/>
      <c r="D440" s="106"/>
    </row>
    <row r="441" spans="2:12">
      <c r="B441" s="105"/>
      <c r="C441" s="101"/>
      <c r="D441" s="106"/>
    </row>
    <row r="452" spans="2:4">
      <c r="B452" s="105"/>
      <c r="C452" s="101"/>
      <c r="D452" s="106"/>
    </row>
    <row r="453" spans="2:4">
      <c r="B453" s="105"/>
      <c r="C453" s="101"/>
      <c r="D453" s="106"/>
    </row>
    <row r="465" spans="2:12" ht="21">
      <c r="B465" s="479" t="s">
        <v>270</v>
      </c>
      <c r="C465" s="479"/>
      <c r="D465" s="479"/>
      <c r="E465" s="479"/>
      <c r="F465" s="479"/>
      <c r="G465" s="479"/>
      <c r="H465" s="479"/>
    </row>
    <row r="466" spans="2:12" ht="16" thickBot="1"/>
    <row r="467" spans="2:12" ht="15.75" customHeight="1">
      <c r="B467" s="480" t="s">
        <v>268</v>
      </c>
      <c r="C467" s="481"/>
      <c r="D467" s="481"/>
      <c r="E467" s="481"/>
      <c r="F467" s="481"/>
      <c r="G467" s="481"/>
      <c r="H467" s="481"/>
      <c r="I467" s="481"/>
      <c r="J467" s="482"/>
      <c r="K467" s="483">
        <v>0.25</v>
      </c>
      <c r="L467" s="484"/>
    </row>
    <row r="468" spans="2:12" ht="30.75" customHeight="1">
      <c r="B468" s="466" t="s">
        <v>269</v>
      </c>
      <c r="C468" s="467"/>
      <c r="D468" s="467"/>
      <c r="E468" s="467"/>
      <c r="F468" s="467"/>
      <c r="G468" s="467"/>
      <c r="H468" s="467"/>
      <c r="I468" s="467"/>
      <c r="J468" s="468"/>
      <c r="K468" s="488" t="s">
        <v>250</v>
      </c>
      <c r="L468" s="489"/>
    </row>
    <row r="469" spans="2:12" ht="14.5" customHeight="1">
      <c r="B469" s="485"/>
      <c r="C469" s="486"/>
      <c r="D469" s="486"/>
      <c r="E469" s="486"/>
      <c r="F469" s="486"/>
      <c r="G469" s="486"/>
      <c r="H469" s="486"/>
      <c r="I469" s="486"/>
      <c r="J469" s="487"/>
      <c r="K469" s="488" t="s">
        <v>249</v>
      </c>
      <c r="L469" s="489"/>
    </row>
    <row r="470" spans="2:12" ht="14.5" customHeight="1">
      <c r="B470" s="469"/>
      <c r="C470" s="470"/>
      <c r="D470" s="470"/>
      <c r="E470" s="470"/>
      <c r="F470" s="470"/>
      <c r="G470" s="470"/>
      <c r="H470" s="470"/>
      <c r="I470" s="470"/>
      <c r="J470" s="471"/>
      <c r="K470" s="488" t="s">
        <v>245</v>
      </c>
      <c r="L470" s="489"/>
    </row>
    <row r="471" spans="2:12" ht="16" customHeight="1">
      <c r="B471" s="463" t="s">
        <v>246</v>
      </c>
      <c r="C471" s="464"/>
      <c r="D471" s="464"/>
      <c r="E471" s="464"/>
      <c r="F471" s="464"/>
      <c r="G471" s="464"/>
      <c r="H471" s="464"/>
      <c r="I471" s="464"/>
      <c r="J471" s="465"/>
      <c r="K471" s="120" t="s">
        <v>222</v>
      </c>
      <c r="L471" s="83">
        <f>'Aktuelle data'!G37*'Aktuelle data'!C37</f>
        <v>86.557733999999996</v>
      </c>
    </row>
    <row r="472" spans="2:12" ht="15.25" customHeight="1">
      <c r="B472" s="466" t="s">
        <v>263</v>
      </c>
      <c r="C472" s="467"/>
      <c r="D472" s="467"/>
      <c r="E472" s="467"/>
      <c r="F472" s="467"/>
      <c r="G472" s="467"/>
      <c r="H472" s="467"/>
      <c r="I472" s="467"/>
      <c r="J472" s="468"/>
      <c r="K472" s="116"/>
      <c r="L472" s="118">
        <f>'Aktuelle data'!G38*'Aktuelle data'!C37</f>
        <v>9.3290002200000011</v>
      </c>
    </row>
    <row r="473" spans="2:12" ht="29.25" customHeight="1">
      <c r="B473" s="469"/>
      <c r="C473" s="470"/>
      <c r="D473" s="470"/>
      <c r="E473" s="470"/>
      <c r="F473" s="470"/>
      <c r="G473" s="470"/>
      <c r="H473" s="470"/>
      <c r="I473" s="470"/>
      <c r="J473" s="471"/>
      <c r="K473" s="472" t="s">
        <v>256</v>
      </c>
      <c r="L473" s="473"/>
    </row>
    <row r="474" spans="2:12" ht="14.5" customHeight="1">
      <c r="B474" s="466" t="s">
        <v>255</v>
      </c>
      <c r="C474" s="467"/>
      <c r="D474" s="467"/>
      <c r="E474" s="467"/>
      <c r="F474" s="467"/>
      <c r="G474" s="467"/>
      <c r="H474" s="467"/>
      <c r="I474" s="467"/>
      <c r="J474" s="468"/>
      <c r="K474" s="121"/>
      <c r="L474" s="122">
        <f>'Aktuelle data'!G39*'Aktuelle data'!C37</f>
        <v>204.09993093</v>
      </c>
    </row>
    <row r="475" spans="2:12" ht="14.75" customHeight="1">
      <c r="B475" s="469"/>
      <c r="C475" s="470"/>
      <c r="D475" s="470"/>
      <c r="E475" s="470"/>
      <c r="F475" s="470"/>
      <c r="G475" s="470"/>
      <c r="H475" s="470"/>
      <c r="I475" s="470"/>
      <c r="J475" s="471"/>
      <c r="K475" s="474" t="s">
        <v>247</v>
      </c>
      <c r="L475" s="475"/>
    </row>
    <row r="476" spans="2:12" ht="15" customHeight="1">
      <c r="B476" s="466" t="s">
        <v>248</v>
      </c>
      <c r="C476" s="467"/>
      <c r="D476" s="467"/>
      <c r="E476" s="467"/>
      <c r="F476" s="467"/>
      <c r="G476" s="467"/>
      <c r="H476" s="467"/>
      <c r="I476" s="467"/>
      <c r="J476" s="468"/>
      <c r="K476" s="117"/>
      <c r="L476" s="123">
        <f>'Aktuelle data'!G40*'Aktuelle data'!C37</f>
        <v>464.23798002000001</v>
      </c>
    </row>
    <row r="477" spans="2:12" ht="17" thickBot="1">
      <c r="B477" s="476"/>
      <c r="C477" s="477"/>
      <c r="D477" s="477"/>
      <c r="E477" s="477"/>
      <c r="F477" s="477"/>
      <c r="G477" s="477"/>
      <c r="H477" s="477"/>
      <c r="I477" s="477"/>
      <c r="J477" s="478"/>
      <c r="K477" s="96"/>
      <c r="L477" s="124" t="s">
        <v>247</v>
      </c>
    </row>
    <row r="479" spans="2:12" ht="30.75" customHeight="1">
      <c r="B479" s="457" t="s">
        <v>276</v>
      </c>
      <c r="C479" s="457"/>
      <c r="D479" s="457"/>
      <c r="E479" s="457"/>
      <c r="F479" s="457"/>
      <c r="G479" s="457"/>
      <c r="H479" s="457"/>
      <c r="I479" s="457"/>
      <c r="J479" s="457"/>
      <c r="K479" s="457"/>
      <c r="L479" s="457"/>
    </row>
    <row r="481" spans="1:12" ht="21">
      <c r="B481" s="458" t="s">
        <v>257</v>
      </c>
      <c r="C481" s="458"/>
      <c r="D481" s="458"/>
      <c r="E481" s="458"/>
      <c r="F481" s="458"/>
      <c r="G481" s="458"/>
      <c r="H481" s="458"/>
      <c r="I481" s="458"/>
      <c r="J481" s="458"/>
      <c r="K481" s="458"/>
      <c r="L481" s="458"/>
    </row>
    <row r="482" spans="1:12" ht="16" thickBot="1"/>
    <row r="483" spans="1:12" ht="16">
      <c r="B483" s="260" t="s">
        <v>258</v>
      </c>
      <c r="C483" s="203">
        <f>'Aktuelle data'!C41</f>
        <v>3.81</v>
      </c>
      <c r="D483" s="196" t="s">
        <v>277</v>
      </c>
    </row>
    <row r="484" spans="1:12" ht="17" thickBot="1">
      <c r="B484" s="261" t="s">
        <v>259</v>
      </c>
      <c r="C484" s="204">
        <f>'Aktuelle data'!C40</f>
        <v>2.23</v>
      </c>
      <c r="D484" s="197" t="s">
        <v>277</v>
      </c>
    </row>
    <row r="486" spans="1:12" ht="21">
      <c r="A486" s="2"/>
      <c r="B486" s="263" t="s">
        <v>262</v>
      </c>
      <c r="C486" s="263"/>
    </row>
    <row r="487" spans="1:12" ht="16" thickBot="1"/>
    <row r="488" spans="1:12" s="2" customFormat="1" ht="33.25" customHeight="1">
      <c r="A488"/>
      <c r="B488" s="459" t="s">
        <v>17</v>
      </c>
      <c r="C488" s="460"/>
      <c r="D488" s="461" t="s">
        <v>265</v>
      </c>
      <c r="E488" s="462"/>
      <c r="F488" s="460"/>
      <c r="G488" s="461" t="s">
        <v>267</v>
      </c>
      <c r="H488" s="462"/>
      <c r="I488" s="460"/>
      <c r="J488" s="461" t="s">
        <v>266</v>
      </c>
      <c r="K488" s="460"/>
      <c r="L488" s="262" t="s">
        <v>21</v>
      </c>
    </row>
    <row r="489" spans="1:12">
      <c r="B489" s="444" t="s">
        <v>23</v>
      </c>
      <c r="C489" s="445"/>
      <c r="D489" s="446" t="s">
        <v>24</v>
      </c>
      <c r="E489" s="447"/>
      <c r="F489" s="445"/>
      <c r="G489" s="448">
        <f>'Aktuelle data'!AL5</f>
        <v>99</v>
      </c>
      <c r="H489" s="449"/>
      <c r="I489" s="450"/>
      <c r="J489" s="448">
        <f>'Aktuelle data'!AM5</f>
        <v>198</v>
      </c>
      <c r="K489" s="450"/>
      <c r="L489" s="126">
        <f>'Aktuelle data'!AN5</f>
        <v>297</v>
      </c>
    </row>
    <row r="490" spans="1:12">
      <c r="B490" s="127" t="s">
        <v>26</v>
      </c>
      <c r="C490" s="66"/>
      <c r="D490" s="446" t="s">
        <v>27</v>
      </c>
      <c r="E490" s="447"/>
      <c r="F490" s="445"/>
      <c r="G490" s="448">
        <f>'Aktuelle data'!AL6</f>
        <v>66</v>
      </c>
      <c r="H490" s="449"/>
      <c r="I490" s="450"/>
      <c r="J490" s="448">
        <f>'Aktuelle data'!AM6</f>
        <v>132</v>
      </c>
      <c r="K490" s="450"/>
      <c r="L490" s="126">
        <f>'Aktuelle data'!AN6</f>
        <v>198</v>
      </c>
    </row>
    <row r="491" spans="1:12">
      <c r="B491" s="444" t="s">
        <v>28</v>
      </c>
      <c r="C491" s="445"/>
      <c r="D491" s="446" t="s">
        <v>29</v>
      </c>
      <c r="E491" s="447"/>
      <c r="F491" s="445"/>
      <c r="G491" s="448">
        <f>'Aktuelle data'!AL7</f>
        <v>33</v>
      </c>
      <c r="H491" s="449"/>
      <c r="I491" s="450"/>
      <c r="J491" s="448">
        <f>'Aktuelle data'!AM7</f>
        <v>66</v>
      </c>
      <c r="K491" s="450"/>
      <c r="L491" s="126">
        <f>'Aktuelle data'!AN7</f>
        <v>99</v>
      </c>
    </row>
    <row r="492" spans="1:12" ht="16" thickBot="1">
      <c r="B492" s="128" t="s">
        <v>30</v>
      </c>
      <c r="C492" s="125"/>
      <c r="D492" s="451" t="s">
        <v>31</v>
      </c>
      <c r="E492" s="452"/>
      <c r="F492" s="453"/>
      <c r="G492" s="454">
        <f>'Aktuelle data'!AL8</f>
        <v>0</v>
      </c>
      <c r="H492" s="455"/>
      <c r="I492" s="456"/>
      <c r="J492" s="454">
        <f>'Aktuelle data'!AM8</f>
        <v>0</v>
      </c>
      <c r="K492" s="456"/>
      <c r="L492" s="129">
        <f>'Aktuelle data'!AN8</f>
        <v>0</v>
      </c>
    </row>
  </sheetData>
  <mergeCells count="506">
    <mergeCell ref="B427:L427"/>
    <mergeCell ref="B415:L415"/>
    <mergeCell ref="B417:I417"/>
    <mergeCell ref="B418:E418"/>
    <mergeCell ref="B419:J419"/>
    <mergeCell ref="B421:L421"/>
    <mergeCell ref="B422:C422"/>
    <mergeCell ref="B425:C425"/>
    <mergeCell ref="B429:K429"/>
    <mergeCell ref="H7:I7"/>
    <mergeCell ref="J7:K7"/>
    <mergeCell ref="D11:E11"/>
    <mergeCell ref="F11:G11"/>
    <mergeCell ref="H11:I11"/>
    <mergeCell ref="J11:K11"/>
    <mergeCell ref="D14:E14"/>
    <mergeCell ref="F14:G14"/>
    <mergeCell ref="H14:I14"/>
    <mergeCell ref="J14:K14"/>
    <mergeCell ref="D12:E12"/>
    <mergeCell ref="F12:G12"/>
    <mergeCell ref="H12:I12"/>
    <mergeCell ref="J12:K12"/>
    <mergeCell ref="D13:E13"/>
    <mergeCell ref="F13:G13"/>
    <mergeCell ref="H13:I13"/>
    <mergeCell ref="J13:K13"/>
    <mergeCell ref="C2:L2"/>
    <mergeCell ref="J4:K4"/>
    <mergeCell ref="D5:E5"/>
    <mergeCell ref="F5:G5"/>
    <mergeCell ref="H5:I5"/>
    <mergeCell ref="J5:K5"/>
    <mergeCell ref="D10:E10"/>
    <mergeCell ref="F10:G10"/>
    <mergeCell ref="H10:I10"/>
    <mergeCell ref="J10:K10"/>
    <mergeCell ref="D8:E8"/>
    <mergeCell ref="F8:G8"/>
    <mergeCell ref="H8:I8"/>
    <mergeCell ref="J8:K8"/>
    <mergeCell ref="D9:E9"/>
    <mergeCell ref="F9:G9"/>
    <mergeCell ref="H9:I9"/>
    <mergeCell ref="J9:K9"/>
    <mergeCell ref="D6:E6"/>
    <mergeCell ref="F6:G6"/>
    <mergeCell ref="H6:I6"/>
    <mergeCell ref="J6:K6"/>
    <mergeCell ref="D7:E7"/>
    <mergeCell ref="F7:G7"/>
    <mergeCell ref="D18:E18"/>
    <mergeCell ref="F18:G18"/>
    <mergeCell ref="H18:I18"/>
    <mergeCell ref="J18:K18"/>
    <mergeCell ref="D15:E15"/>
    <mergeCell ref="F15:G15"/>
    <mergeCell ref="H15:I15"/>
    <mergeCell ref="J15:K15"/>
    <mergeCell ref="D19:E19"/>
    <mergeCell ref="F19:G19"/>
    <mergeCell ref="H19:I19"/>
    <mergeCell ref="J19:K19"/>
    <mergeCell ref="D16:E16"/>
    <mergeCell ref="F16:G16"/>
    <mergeCell ref="H16:I16"/>
    <mergeCell ref="J16:K16"/>
    <mergeCell ref="D17:E17"/>
    <mergeCell ref="F17:G17"/>
    <mergeCell ref="H17:I17"/>
    <mergeCell ref="J17:K17"/>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D26:E26"/>
    <mergeCell ref="F26:G26"/>
    <mergeCell ref="H26:I26"/>
    <mergeCell ref="J26:K26"/>
    <mergeCell ref="D27:E27"/>
    <mergeCell ref="F27:G27"/>
    <mergeCell ref="H27:I27"/>
    <mergeCell ref="J27:K27"/>
    <mergeCell ref="D24:E24"/>
    <mergeCell ref="F24:G24"/>
    <mergeCell ref="H24:I24"/>
    <mergeCell ref="J24:K24"/>
    <mergeCell ref="D25:E25"/>
    <mergeCell ref="F25:G25"/>
    <mergeCell ref="H25:I25"/>
    <mergeCell ref="J25:K25"/>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B37:J37"/>
    <mergeCell ref="C65:L65"/>
    <mergeCell ref="J67:K67"/>
    <mergeCell ref="D68:E68"/>
    <mergeCell ref="F68:G68"/>
    <mergeCell ref="H68:I68"/>
    <mergeCell ref="J68:K68"/>
    <mergeCell ref="D32:E32"/>
    <mergeCell ref="F32:G32"/>
    <mergeCell ref="H32:I32"/>
    <mergeCell ref="J32:K32"/>
    <mergeCell ref="B35:J35"/>
    <mergeCell ref="B36:J36"/>
    <mergeCell ref="D71:E71"/>
    <mergeCell ref="F71:G71"/>
    <mergeCell ref="H71:I71"/>
    <mergeCell ref="J71:K71"/>
    <mergeCell ref="D72:E72"/>
    <mergeCell ref="F72:G72"/>
    <mergeCell ref="H72:I72"/>
    <mergeCell ref="J72:K72"/>
    <mergeCell ref="D69:E69"/>
    <mergeCell ref="F69:G69"/>
    <mergeCell ref="H69:I69"/>
    <mergeCell ref="J69:K69"/>
    <mergeCell ref="D70:E70"/>
    <mergeCell ref="F70:G70"/>
    <mergeCell ref="H70:I70"/>
    <mergeCell ref="J70:K70"/>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D79:E79"/>
    <mergeCell ref="F79:G79"/>
    <mergeCell ref="H79:I79"/>
    <mergeCell ref="J79:K79"/>
    <mergeCell ref="D80:E80"/>
    <mergeCell ref="F80:G80"/>
    <mergeCell ref="H80:I80"/>
    <mergeCell ref="J80:K80"/>
    <mergeCell ref="D77:E77"/>
    <mergeCell ref="F77:G77"/>
    <mergeCell ref="H77:I77"/>
    <mergeCell ref="J77:K77"/>
    <mergeCell ref="D78:E78"/>
    <mergeCell ref="F78:G78"/>
    <mergeCell ref="H78:I78"/>
    <mergeCell ref="J78:K78"/>
    <mergeCell ref="D83:E83"/>
    <mergeCell ref="F83:G83"/>
    <mergeCell ref="H83:I83"/>
    <mergeCell ref="J83:K83"/>
    <mergeCell ref="D84:E84"/>
    <mergeCell ref="F84:G84"/>
    <mergeCell ref="H84:I84"/>
    <mergeCell ref="J84:K84"/>
    <mergeCell ref="D81:E81"/>
    <mergeCell ref="F81:G81"/>
    <mergeCell ref="H81:I81"/>
    <mergeCell ref="J81:K81"/>
    <mergeCell ref="D82:E82"/>
    <mergeCell ref="F82:G82"/>
    <mergeCell ref="H82:I82"/>
    <mergeCell ref="J82:K82"/>
    <mergeCell ref="D87:E87"/>
    <mergeCell ref="F87:G87"/>
    <mergeCell ref="H87:I87"/>
    <mergeCell ref="J87:K87"/>
    <mergeCell ref="D88:E88"/>
    <mergeCell ref="F88:G88"/>
    <mergeCell ref="H88:I88"/>
    <mergeCell ref="J88:K88"/>
    <mergeCell ref="D85:E85"/>
    <mergeCell ref="F85:G85"/>
    <mergeCell ref="H85:I85"/>
    <mergeCell ref="J85:K85"/>
    <mergeCell ref="D86:E86"/>
    <mergeCell ref="F86:G86"/>
    <mergeCell ref="H86:I86"/>
    <mergeCell ref="J86:K86"/>
    <mergeCell ref="D91:E91"/>
    <mergeCell ref="F91:G91"/>
    <mergeCell ref="H91:I91"/>
    <mergeCell ref="J91:K91"/>
    <mergeCell ref="D92:E92"/>
    <mergeCell ref="F92:G92"/>
    <mergeCell ref="H92:I92"/>
    <mergeCell ref="J92:K92"/>
    <mergeCell ref="D89:E89"/>
    <mergeCell ref="F89:G89"/>
    <mergeCell ref="H89:I89"/>
    <mergeCell ref="J89:K89"/>
    <mergeCell ref="D90:E90"/>
    <mergeCell ref="F90:G90"/>
    <mergeCell ref="H90:I90"/>
    <mergeCell ref="J90:K90"/>
    <mergeCell ref="D95:E95"/>
    <mergeCell ref="F95:G95"/>
    <mergeCell ref="H95:I95"/>
    <mergeCell ref="J95:K95"/>
    <mergeCell ref="B98:J98"/>
    <mergeCell ref="B99:J99"/>
    <mergeCell ref="D93:E93"/>
    <mergeCell ref="F93:G93"/>
    <mergeCell ref="H93:I93"/>
    <mergeCell ref="J93:K93"/>
    <mergeCell ref="D94:E94"/>
    <mergeCell ref="F94:G94"/>
    <mergeCell ref="H94:I94"/>
    <mergeCell ref="J94:K94"/>
    <mergeCell ref="D134:E134"/>
    <mergeCell ref="F134:G134"/>
    <mergeCell ref="H134:I134"/>
    <mergeCell ref="J134:K134"/>
    <mergeCell ref="D135:E135"/>
    <mergeCell ref="F135:G135"/>
    <mergeCell ref="H135:I135"/>
    <mergeCell ref="J135:K135"/>
    <mergeCell ref="B100:J100"/>
    <mergeCell ref="C129:L129"/>
    <mergeCell ref="C130:L130"/>
    <mergeCell ref="J132:K132"/>
    <mergeCell ref="D133:E133"/>
    <mergeCell ref="F133:G133"/>
    <mergeCell ref="H133:I133"/>
    <mergeCell ref="J133:K133"/>
    <mergeCell ref="D138:E138"/>
    <mergeCell ref="F138:G138"/>
    <mergeCell ref="H138:I138"/>
    <mergeCell ref="J138:K138"/>
    <mergeCell ref="D139:E139"/>
    <mergeCell ref="F139:G139"/>
    <mergeCell ref="H139:I139"/>
    <mergeCell ref="J139:K139"/>
    <mergeCell ref="D136:E136"/>
    <mergeCell ref="F136:G136"/>
    <mergeCell ref="H136:I136"/>
    <mergeCell ref="J136:K136"/>
    <mergeCell ref="D137:E137"/>
    <mergeCell ref="F137:G137"/>
    <mergeCell ref="H137:I137"/>
    <mergeCell ref="J137:K137"/>
    <mergeCell ref="D142:E142"/>
    <mergeCell ref="F142:G142"/>
    <mergeCell ref="H142:I142"/>
    <mergeCell ref="J142:K142"/>
    <mergeCell ref="D143:E143"/>
    <mergeCell ref="F143:G143"/>
    <mergeCell ref="H143:I143"/>
    <mergeCell ref="J143:K143"/>
    <mergeCell ref="D140:E140"/>
    <mergeCell ref="F140:G140"/>
    <mergeCell ref="H140:I140"/>
    <mergeCell ref="J140:K140"/>
    <mergeCell ref="D141:E141"/>
    <mergeCell ref="F141:G141"/>
    <mergeCell ref="H141:I141"/>
    <mergeCell ref="J141:K141"/>
    <mergeCell ref="D146:E146"/>
    <mergeCell ref="F146:G146"/>
    <mergeCell ref="H146:I146"/>
    <mergeCell ref="J146:K146"/>
    <mergeCell ref="D147:E147"/>
    <mergeCell ref="F147:G147"/>
    <mergeCell ref="H147:I147"/>
    <mergeCell ref="J147:K147"/>
    <mergeCell ref="D144:E144"/>
    <mergeCell ref="F144:G144"/>
    <mergeCell ref="H144:I144"/>
    <mergeCell ref="J144:K144"/>
    <mergeCell ref="D145:E145"/>
    <mergeCell ref="F145:G145"/>
    <mergeCell ref="H145:I145"/>
    <mergeCell ref="J145:K145"/>
    <mergeCell ref="D150:E150"/>
    <mergeCell ref="F150:G150"/>
    <mergeCell ref="H150:I150"/>
    <mergeCell ref="J150:K150"/>
    <mergeCell ref="D151:E151"/>
    <mergeCell ref="F151:G151"/>
    <mergeCell ref="H151:I151"/>
    <mergeCell ref="J151:K151"/>
    <mergeCell ref="D148:E148"/>
    <mergeCell ref="F148:G148"/>
    <mergeCell ref="H148:I148"/>
    <mergeCell ref="J148:K148"/>
    <mergeCell ref="D149:E149"/>
    <mergeCell ref="F149:G149"/>
    <mergeCell ref="H149:I149"/>
    <mergeCell ref="J149:K149"/>
    <mergeCell ref="D154:E154"/>
    <mergeCell ref="F154:G154"/>
    <mergeCell ref="H154:I154"/>
    <mergeCell ref="J154:K154"/>
    <mergeCell ref="D155:E155"/>
    <mergeCell ref="F155:G155"/>
    <mergeCell ref="H155:I155"/>
    <mergeCell ref="J155:K155"/>
    <mergeCell ref="D152:E152"/>
    <mergeCell ref="F152:G152"/>
    <mergeCell ref="H152:I152"/>
    <mergeCell ref="J152:K152"/>
    <mergeCell ref="D153:E153"/>
    <mergeCell ref="F153:G153"/>
    <mergeCell ref="H153:I153"/>
    <mergeCell ref="J153:K153"/>
    <mergeCell ref="D158:E158"/>
    <mergeCell ref="F158:G158"/>
    <mergeCell ref="H158:I158"/>
    <mergeCell ref="J158:K158"/>
    <mergeCell ref="D159:E159"/>
    <mergeCell ref="F159:G159"/>
    <mergeCell ref="H159:I159"/>
    <mergeCell ref="J159:K159"/>
    <mergeCell ref="D156:E156"/>
    <mergeCell ref="F156:G156"/>
    <mergeCell ref="H156:I156"/>
    <mergeCell ref="J156:K156"/>
    <mergeCell ref="D157:E157"/>
    <mergeCell ref="F157:G157"/>
    <mergeCell ref="H157:I157"/>
    <mergeCell ref="J157:K157"/>
    <mergeCell ref="B165:J165"/>
    <mergeCell ref="B191:L191"/>
    <mergeCell ref="B193:C193"/>
    <mergeCell ref="E193:H193"/>
    <mergeCell ref="K193:L193"/>
    <mergeCell ref="E194:G194"/>
    <mergeCell ref="K194:L194"/>
    <mergeCell ref="D160:E160"/>
    <mergeCell ref="F160:G160"/>
    <mergeCell ref="H160:I160"/>
    <mergeCell ref="J160:K160"/>
    <mergeCell ref="B163:J163"/>
    <mergeCell ref="B164:J164"/>
    <mergeCell ref="E198:G198"/>
    <mergeCell ref="K198:L198"/>
    <mergeCell ref="E199:G199"/>
    <mergeCell ref="K199:L199"/>
    <mergeCell ref="E200:G200"/>
    <mergeCell ref="K200:L200"/>
    <mergeCell ref="E195:G195"/>
    <mergeCell ref="K195:L195"/>
    <mergeCell ref="E196:G196"/>
    <mergeCell ref="K196:L196"/>
    <mergeCell ref="E197:G197"/>
    <mergeCell ref="K197:L197"/>
    <mergeCell ref="E204:G204"/>
    <mergeCell ref="K204:L204"/>
    <mergeCell ref="E205:G205"/>
    <mergeCell ref="K205:L205"/>
    <mergeCell ref="E206:G206"/>
    <mergeCell ref="K206:L206"/>
    <mergeCell ref="E201:G201"/>
    <mergeCell ref="K201:L201"/>
    <mergeCell ref="E202:G202"/>
    <mergeCell ref="K202:L202"/>
    <mergeCell ref="E203:G203"/>
    <mergeCell ref="K203:L203"/>
    <mergeCell ref="E210:G210"/>
    <mergeCell ref="K210:L210"/>
    <mergeCell ref="E211:G211"/>
    <mergeCell ref="K211:L211"/>
    <mergeCell ref="E212:G212"/>
    <mergeCell ref="K212:L212"/>
    <mergeCell ref="E207:G207"/>
    <mergeCell ref="K207:L207"/>
    <mergeCell ref="E208:G208"/>
    <mergeCell ref="K208:L208"/>
    <mergeCell ref="E209:G209"/>
    <mergeCell ref="K209:L209"/>
    <mergeCell ref="E217:G217"/>
    <mergeCell ref="E218:G218"/>
    <mergeCell ref="K218:M218"/>
    <mergeCell ref="E219:G219"/>
    <mergeCell ref="K219:L219"/>
    <mergeCell ref="E220:G220"/>
    <mergeCell ref="K220:L220"/>
    <mergeCell ref="K213:L213"/>
    <mergeCell ref="E214:H214"/>
    <mergeCell ref="K214:L214"/>
    <mergeCell ref="E215:G215"/>
    <mergeCell ref="K215:L215"/>
    <mergeCell ref="E216:G216"/>
    <mergeCell ref="K216:L216"/>
    <mergeCell ref="E224:G224"/>
    <mergeCell ref="K224:L224"/>
    <mergeCell ref="E225:G225"/>
    <mergeCell ref="K225:L225"/>
    <mergeCell ref="E226:G226"/>
    <mergeCell ref="K226:L226"/>
    <mergeCell ref="E221:G221"/>
    <mergeCell ref="K221:L221"/>
    <mergeCell ref="E222:G222"/>
    <mergeCell ref="K222:L222"/>
    <mergeCell ref="E223:G223"/>
    <mergeCell ref="K223:L223"/>
    <mergeCell ref="E230:G230"/>
    <mergeCell ref="B256:K256"/>
    <mergeCell ref="B257:K257"/>
    <mergeCell ref="B259:M259"/>
    <mergeCell ref="C261:H261"/>
    <mergeCell ref="G262:H262"/>
    <mergeCell ref="I262:J262"/>
    <mergeCell ref="E227:G227"/>
    <mergeCell ref="K227:L227"/>
    <mergeCell ref="E228:G228"/>
    <mergeCell ref="K228:L228"/>
    <mergeCell ref="E229:G229"/>
    <mergeCell ref="K229:L229"/>
    <mergeCell ref="B327:C327"/>
    <mergeCell ref="H327:J327"/>
    <mergeCell ref="B328:C328"/>
    <mergeCell ref="B329:C329"/>
    <mergeCell ref="B330:C330"/>
    <mergeCell ref="B333:M333"/>
    <mergeCell ref="B317:M317"/>
    <mergeCell ref="B322:M322"/>
    <mergeCell ref="B323:M323"/>
    <mergeCell ref="B325:M325"/>
    <mergeCell ref="B326:C326"/>
    <mergeCell ref="D326:F326"/>
    <mergeCell ref="H326:J326"/>
    <mergeCell ref="L326:M326"/>
    <mergeCell ref="B465:H465"/>
    <mergeCell ref="B467:J467"/>
    <mergeCell ref="K467:L467"/>
    <mergeCell ref="B468:J470"/>
    <mergeCell ref="K468:L468"/>
    <mergeCell ref="K469:L469"/>
    <mergeCell ref="K470:L470"/>
    <mergeCell ref="C343:D343"/>
    <mergeCell ref="B335:F335"/>
    <mergeCell ref="B336:L336"/>
    <mergeCell ref="B337:M337"/>
    <mergeCell ref="B339:M339"/>
    <mergeCell ref="C341:D341"/>
    <mergeCell ref="C342:D342"/>
    <mergeCell ref="B355:K355"/>
    <mergeCell ref="B357:L357"/>
    <mergeCell ref="C359:I359"/>
    <mergeCell ref="E360:F360"/>
    <mergeCell ref="G360:H360"/>
    <mergeCell ref="I360:J360"/>
    <mergeCell ref="B432:L432"/>
    <mergeCell ref="B430:M430"/>
    <mergeCell ref="C434:D434"/>
    <mergeCell ref="C435:D435"/>
    <mergeCell ref="B479:L479"/>
    <mergeCell ref="B481:L481"/>
    <mergeCell ref="B488:C488"/>
    <mergeCell ref="D488:F488"/>
    <mergeCell ref="G488:I488"/>
    <mergeCell ref="J488:K488"/>
    <mergeCell ref="B471:J471"/>
    <mergeCell ref="B472:J473"/>
    <mergeCell ref="K473:L473"/>
    <mergeCell ref="B474:J475"/>
    <mergeCell ref="K475:L475"/>
    <mergeCell ref="B476:J477"/>
    <mergeCell ref="B491:C491"/>
    <mergeCell ref="D491:F491"/>
    <mergeCell ref="G491:I491"/>
    <mergeCell ref="J491:K491"/>
    <mergeCell ref="D492:F492"/>
    <mergeCell ref="G492:I492"/>
    <mergeCell ref="J492:K492"/>
    <mergeCell ref="B489:C489"/>
    <mergeCell ref="D489:F489"/>
    <mergeCell ref="G489:I489"/>
    <mergeCell ref="J489:K489"/>
    <mergeCell ref="D490:F490"/>
    <mergeCell ref="G490:I490"/>
    <mergeCell ref="J490:K490"/>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kulturskolelærere
&amp;C&amp;G&amp;R&amp;"Calibri (Tekst),Fed"&amp;16&amp;K003FC2 1. oktober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385"/>
  <sheetViews>
    <sheetView showGridLines="0" showRuler="0" view="pageLayout" zoomScale="115" zoomScaleNormal="100" zoomScalePageLayoutView="115" workbookViewId="0">
      <selection activeCell="F248" sqref="F248"/>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567" t="s">
        <v>271</v>
      </c>
      <c r="D2" s="567"/>
      <c r="E2" s="567"/>
      <c r="F2" s="567"/>
      <c r="G2" s="567"/>
      <c r="H2" s="567"/>
      <c r="I2" s="567"/>
      <c r="J2" s="567"/>
      <c r="K2" s="567"/>
      <c r="L2" s="567"/>
    </row>
    <row r="3" spans="2:12" ht="13.75" customHeight="1">
      <c r="L3" s="31"/>
    </row>
    <row r="4" spans="2:12" ht="15.5" customHeight="1">
      <c r="C4" s="235" t="s">
        <v>200</v>
      </c>
      <c r="D4" s="236" t="s">
        <v>8</v>
      </c>
      <c r="E4" s="236"/>
      <c r="F4" s="236" t="s">
        <v>9</v>
      </c>
      <c r="G4" s="265"/>
      <c r="H4" s="265" t="s">
        <v>10</v>
      </c>
      <c r="I4" s="266"/>
      <c r="J4" s="569" t="s">
        <v>11</v>
      </c>
      <c r="K4" s="570"/>
      <c r="L4" s="236" t="s">
        <v>12</v>
      </c>
    </row>
    <row r="5" spans="2:12" ht="16">
      <c r="C5" s="237">
        <v>29</v>
      </c>
      <c r="D5" s="568">
        <f>'Aktuelle data'!B8</f>
        <v>370581</v>
      </c>
      <c r="E5" s="568"/>
      <c r="F5" s="568">
        <f>'Aktuelle data'!C8</f>
        <v>374846</v>
      </c>
      <c r="G5" s="568"/>
      <c r="H5" s="568">
        <f>'Aktuelle data'!D8</f>
        <v>377797</v>
      </c>
      <c r="I5" s="568"/>
      <c r="J5" s="568">
        <f>'Aktuelle data'!E8</f>
        <v>382061</v>
      </c>
      <c r="K5" s="568"/>
      <c r="L5" s="198">
        <f>'Aktuelle data'!F8</f>
        <v>385014</v>
      </c>
    </row>
    <row r="6" spans="2:12" ht="16">
      <c r="C6" s="237">
        <v>30</v>
      </c>
      <c r="D6" s="568">
        <f>'Aktuelle data'!B9</f>
        <v>376791</v>
      </c>
      <c r="E6" s="568"/>
      <c r="F6" s="568">
        <f>'Aktuelle data'!C9</f>
        <v>380829</v>
      </c>
      <c r="G6" s="568"/>
      <c r="H6" s="568">
        <f>'Aktuelle data'!D9</f>
        <v>383626</v>
      </c>
      <c r="I6" s="568"/>
      <c r="J6" s="568">
        <f>'Aktuelle data'!E9</f>
        <v>387662</v>
      </c>
      <c r="K6" s="568"/>
      <c r="L6" s="198">
        <f>'Aktuelle data'!F9</f>
        <v>390458</v>
      </c>
    </row>
    <row r="7" spans="2:12" ht="16">
      <c r="C7" s="237">
        <v>31</v>
      </c>
      <c r="D7" s="568">
        <f>'Aktuelle data'!B10</f>
        <v>383141</v>
      </c>
      <c r="E7" s="568"/>
      <c r="F7" s="568">
        <f>'Aktuelle data'!C10</f>
        <v>386940</v>
      </c>
      <c r="G7" s="568"/>
      <c r="H7" s="568">
        <f>'Aktuelle data'!D10</f>
        <v>389569</v>
      </c>
      <c r="I7" s="568"/>
      <c r="J7" s="568">
        <f>'Aktuelle data'!E10</f>
        <v>393368</v>
      </c>
      <c r="K7" s="568"/>
      <c r="L7" s="198">
        <f>'Aktuelle data'!F10</f>
        <v>395996</v>
      </c>
    </row>
    <row r="8" spans="2:12" ht="16">
      <c r="C8" s="237">
        <v>32</v>
      </c>
      <c r="D8" s="568">
        <f>'Aktuelle data'!B11</f>
        <v>389633</v>
      </c>
      <c r="E8" s="568"/>
      <c r="F8" s="568">
        <f>'Aktuelle data'!C11</f>
        <v>393175</v>
      </c>
      <c r="G8" s="568"/>
      <c r="H8" s="568">
        <f>'Aktuelle data'!D11</f>
        <v>395626</v>
      </c>
      <c r="I8" s="568"/>
      <c r="J8" s="568">
        <f>'Aktuelle data'!E11</f>
        <v>399170</v>
      </c>
      <c r="K8" s="568"/>
      <c r="L8" s="198">
        <f>'Aktuelle data'!F11</f>
        <v>401623</v>
      </c>
    </row>
    <row r="9" spans="2:12" ht="16">
      <c r="C9" s="237">
        <v>33</v>
      </c>
      <c r="D9" s="568">
        <f>'Aktuelle data'!B12</f>
        <v>396266</v>
      </c>
      <c r="E9" s="568"/>
      <c r="F9" s="568">
        <f>'Aktuelle data'!C12</f>
        <v>399538</v>
      </c>
      <c r="G9" s="568"/>
      <c r="H9" s="568">
        <f>'Aktuelle data'!D12</f>
        <v>401802</v>
      </c>
      <c r="I9" s="568"/>
      <c r="J9" s="568">
        <f>'Aktuelle data'!E12</f>
        <v>405074</v>
      </c>
      <c r="K9" s="568"/>
      <c r="L9" s="198">
        <f>'Aktuelle data'!F12</f>
        <v>407337</v>
      </c>
    </row>
    <row r="10" spans="2:12" ht="16">
      <c r="C10" s="237">
        <v>34</v>
      </c>
      <c r="D10" s="568">
        <f>'Aktuelle data'!B13</f>
        <v>403053</v>
      </c>
      <c r="E10" s="568"/>
      <c r="F10" s="568">
        <f>'Aktuelle data'!C13</f>
        <v>406038</v>
      </c>
      <c r="G10" s="568"/>
      <c r="H10" s="568">
        <f>'Aktuelle data'!D13</f>
        <v>408102</v>
      </c>
      <c r="I10" s="568"/>
      <c r="J10" s="568">
        <f>'Aktuelle data'!E13</f>
        <v>411087</v>
      </c>
      <c r="K10" s="568"/>
      <c r="L10" s="198">
        <f>'Aktuelle data'!F13</f>
        <v>413153</v>
      </c>
    </row>
    <row r="11" spans="2:12" ht="16">
      <c r="C11" s="237">
        <v>35</v>
      </c>
      <c r="D11" s="568">
        <f>'Aktuelle data'!B14</f>
        <v>409982</v>
      </c>
      <c r="E11" s="568"/>
      <c r="F11" s="568">
        <f>'Aktuelle data'!C14</f>
        <v>412662</v>
      </c>
      <c r="G11" s="568"/>
      <c r="H11" s="568">
        <f>'Aktuelle data'!D14</f>
        <v>414517</v>
      </c>
      <c r="I11" s="568"/>
      <c r="J11" s="568">
        <f>'Aktuelle data'!E14</f>
        <v>417195</v>
      </c>
      <c r="K11" s="568"/>
      <c r="L11" s="198">
        <f>'Aktuelle data'!F14</f>
        <v>419051</v>
      </c>
    </row>
    <row r="12" spans="2:12" ht="16">
      <c r="C12" s="237">
        <v>36</v>
      </c>
      <c r="D12" s="568">
        <f>'Aktuelle data'!B15</f>
        <v>417070</v>
      </c>
      <c r="E12" s="568"/>
      <c r="F12" s="568">
        <f>'Aktuelle data'!C15</f>
        <v>419428</v>
      </c>
      <c r="G12" s="568"/>
      <c r="H12" s="568">
        <f>'Aktuelle data'!D15</f>
        <v>421058</v>
      </c>
      <c r="I12" s="568"/>
      <c r="J12" s="568">
        <f>'Aktuelle data'!E15</f>
        <v>423414</v>
      </c>
      <c r="K12" s="568"/>
      <c r="L12" s="198">
        <f>'Aktuelle data'!F15</f>
        <v>425046</v>
      </c>
    </row>
    <row r="13" spans="2:12" ht="16">
      <c r="C13" s="237">
        <v>37</v>
      </c>
      <c r="D13" s="568">
        <f>'Aktuelle data'!B16</f>
        <v>424312</v>
      </c>
      <c r="E13" s="568"/>
      <c r="F13" s="568">
        <f>'Aktuelle data'!C16</f>
        <v>426327</v>
      </c>
      <c r="G13" s="568"/>
      <c r="H13" s="568">
        <f>'Aktuelle data'!D16</f>
        <v>427723</v>
      </c>
      <c r="I13" s="568"/>
      <c r="J13" s="568">
        <f>'Aktuelle data'!E16</f>
        <v>429738</v>
      </c>
      <c r="K13" s="568"/>
      <c r="L13" s="198">
        <f>'Aktuelle data'!F16</f>
        <v>431132</v>
      </c>
    </row>
    <row r="14" spans="2:12" ht="16">
      <c r="C14" s="237">
        <v>38</v>
      </c>
      <c r="D14" s="568">
        <f>'Aktuelle data'!B17</f>
        <v>432000</v>
      </c>
      <c r="E14" s="568"/>
      <c r="F14" s="568">
        <f>'Aktuelle data'!C17</f>
        <v>433686</v>
      </c>
      <c r="G14" s="568"/>
      <c r="H14" s="568">
        <f>'Aktuelle data'!D17</f>
        <v>434855</v>
      </c>
      <c r="I14" s="568"/>
      <c r="J14" s="568">
        <f>'Aktuelle data'!E17</f>
        <v>436541</v>
      </c>
      <c r="K14" s="568"/>
      <c r="L14" s="198">
        <f>'Aktuelle data'!F17</f>
        <v>437711</v>
      </c>
    </row>
    <row r="15" spans="2:12" ht="16">
      <c r="C15" s="237">
        <v>39</v>
      </c>
      <c r="D15" s="568">
        <f>'Aktuelle data'!B18</f>
        <v>439718</v>
      </c>
      <c r="E15" s="568"/>
      <c r="F15" s="568">
        <f>'Aktuelle data'!C18</f>
        <v>441016</v>
      </c>
      <c r="G15" s="568"/>
      <c r="H15" s="568">
        <f>'Aktuelle data'!D18</f>
        <v>441916</v>
      </c>
      <c r="I15" s="568"/>
      <c r="J15" s="568">
        <f>'Aktuelle data'!E18</f>
        <v>443214</v>
      </c>
      <c r="K15" s="568"/>
      <c r="L15" s="198">
        <f>'Aktuelle data'!F18</f>
        <v>444115</v>
      </c>
    </row>
    <row r="16" spans="2:12" ht="16">
      <c r="C16" s="237">
        <v>40</v>
      </c>
      <c r="D16" s="568">
        <f>'Aktuelle data'!B19</f>
        <v>447611</v>
      </c>
      <c r="E16" s="568"/>
      <c r="F16" s="568">
        <f>'Aktuelle data'!C19</f>
        <v>448499</v>
      </c>
      <c r="G16" s="568"/>
      <c r="H16" s="568">
        <f>'Aktuelle data'!D19</f>
        <v>449115</v>
      </c>
      <c r="I16" s="568"/>
      <c r="J16" s="568">
        <f>'Aktuelle data'!E19</f>
        <v>450004</v>
      </c>
      <c r="K16" s="568"/>
      <c r="L16" s="198">
        <f>'Aktuelle data'!F19</f>
        <v>450620</v>
      </c>
    </row>
    <row r="17" spans="3:12" ht="16">
      <c r="C17" s="237">
        <v>41</v>
      </c>
      <c r="D17" s="568">
        <f>'Aktuelle data'!B20</f>
        <v>455675</v>
      </c>
      <c r="E17" s="568"/>
      <c r="F17" s="568">
        <f>'Aktuelle data'!C20</f>
        <v>456130</v>
      </c>
      <c r="G17" s="568"/>
      <c r="H17" s="568">
        <f>'Aktuelle data'!D20</f>
        <v>456448</v>
      </c>
      <c r="I17" s="568"/>
      <c r="J17" s="568">
        <f>'Aktuelle data'!E20</f>
        <v>456901</v>
      </c>
      <c r="K17" s="568"/>
      <c r="L17" s="198">
        <f>'Aktuelle data'!F20</f>
        <v>457219</v>
      </c>
    </row>
    <row r="18" spans="3:12" ht="16">
      <c r="C18" s="237">
        <v>42</v>
      </c>
      <c r="D18" s="568">
        <f>'Aktuelle data'!B21</f>
        <v>463914</v>
      </c>
      <c r="E18" s="568"/>
      <c r="F18" s="568">
        <f>'Aktuelle data'!C21</f>
        <v>463914</v>
      </c>
      <c r="G18" s="568"/>
      <c r="H18" s="568">
        <f>'Aktuelle data'!D21</f>
        <v>463914</v>
      </c>
      <c r="I18" s="568"/>
      <c r="J18" s="568">
        <f>'Aktuelle data'!E21</f>
        <v>463914</v>
      </c>
      <c r="K18" s="568"/>
      <c r="L18" s="198">
        <f>'Aktuelle data'!F21</f>
        <v>463914</v>
      </c>
    </row>
    <row r="19" spans="3:12" ht="16">
      <c r="C19" s="237">
        <v>43</v>
      </c>
      <c r="D19" s="568">
        <f>'Aktuelle data'!B22</f>
        <v>474224</v>
      </c>
      <c r="E19" s="568"/>
      <c r="F19" s="568">
        <f>'Aktuelle data'!C22</f>
        <v>474224</v>
      </c>
      <c r="G19" s="568"/>
      <c r="H19" s="568">
        <f>'Aktuelle data'!D22</f>
        <v>474224</v>
      </c>
      <c r="I19" s="568"/>
      <c r="J19" s="568">
        <f>'Aktuelle data'!E22</f>
        <v>474224</v>
      </c>
      <c r="K19" s="568"/>
      <c r="L19" s="198">
        <f>'Aktuelle data'!F22</f>
        <v>474224</v>
      </c>
    </row>
    <row r="20" spans="3:12" ht="16">
      <c r="C20" s="237">
        <v>44</v>
      </c>
      <c r="D20" s="568">
        <f>'Aktuelle data'!B23</f>
        <v>484819</v>
      </c>
      <c r="E20" s="568"/>
      <c r="F20" s="568">
        <f>'Aktuelle data'!C23</f>
        <v>484819</v>
      </c>
      <c r="G20" s="568"/>
      <c r="H20" s="568">
        <f>'Aktuelle data'!D23</f>
        <v>484819</v>
      </c>
      <c r="I20" s="568"/>
      <c r="J20" s="568">
        <f>'Aktuelle data'!E23</f>
        <v>484819</v>
      </c>
      <c r="K20" s="568"/>
      <c r="L20" s="198">
        <f>'Aktuelle data'!F23</f>
        <v>484819</v>
      </c>
    </row>
    <row r="21" spans="3:12" ht="16">
      <c r="C21" s="237">
        <v>45</v>
      </c>
      <c r="D21" s="568">
        <f>'Aktuelle data'!B24</f>
        <v>495705</v>
      </c>
      <c r="E21" s="568"/>
      <c r="F21" s="568">
        <f>'Aktuelle data'!C24</f>
        <v>495705</v>
      </c>
      <c r="G21" s="568"/>
      <c r="H21" s="568">
        <f>'Aktuelle data'!D24</f>
        <v>495705</v>
      </c>
      <c r="I21" s="568"/>
      <c r="J21" s="568">
        <f>'Aktuelle data'!E24</f>
        <v>495705</v>
      </c>
      <c r="K21" s="568"/>
      <c r="L21" s="198">
        <f>'Aktuelle data'!F24</f>
        <v>495705</v>
      </c>
    </row>
    <row r="22" spans="3:12" ht="16">
      <c r="C22" s="237">
        <v>46</v>
      </c>
      <c r="D22" s="568">
        <f>'Aktuelle data'!B25</f>
        <v>506890</v>
      </c>
      <c r="E22" s="568"/>
      <c r="F22" s="568">
        <f>'Aktuelle data'!C25</f>
        <v>506890</v>
      </c>
      <c r="G22" s="568"/>
      <c r="H22" s="568">
        <f>'Aktuelle data'!D25</f>
        <v>506890</v>
      </c>
      <c r="I22" s="568"/>
      <c r="J22" s="568">
        <f>'Aktuelle data'!E25</f>
        <v>506890</v>
      </c>
      <c r="K22" s="568"/>
      <c r="L22" s="198">
        <f>'Aktuelle data'!F25</f>
        <v>506890</v>
      </c>
    </row>
    <row r="23" spans="3:12" ht="16">
      <c r="C23" s="237">
        <v>47</v>
      </c>
      <c r="D23" s="568">
        <f>'Aktuelle data'!B26</f>
        <v>515913</v>
      </c>
      <c r="E23" s="568"/>
      <c r="F23" s="568">
        <f>'Aktuelle data'!C26</f>
        <v>515913</v>
      </c>
      <c r="G23" s="568"/>
      <c r="H23" s="568">
        <f>'Aktuelle data'!D26</f>
        <v>515913</v>
      </c>
      <c r="I23" s="568"/>
      <c r="J23" s="568">
        <f>'Aktuelle data'!E26</f>
        <v>515913</v>
      </c>
      <c r="K23" s="568"/>
      <c r="L23" s="198">
        <f>'Aktuelle data'!F26</f>
        <v>515913</v>
      </c>
    </row>
    <row r="24" spans="3:12" ht="16">
      <c r="C24" s="237">
        <v>48</v>
      </c>
      <c r="D24" s="568">
        <f>'Aktuelle data'!B27</f>
        <v>539628</v>
      </c>
      <c r="E24" s="568"/>
      <c r="F24" s="568">
        <f>'Aktuelle data'!C27</f>
        <v>539628</v>
      </c>
      <c r="G24" s="568"/>
      <c r="H24" s="568">
        <f>'Aktuelle data'!D27</f>
        <v>539628</v>
      </c>
      <c r="I24" s="568"/>
      <c r="J24" s="568">
        <f>'Aktuelle data'!E27</f>
        <v>539628</v>
      </c>
      <c r="K24" s="568"/>
      <c r="L24" s="198">
        <f>'Aktuelle data'!F27</f>
        <v>539628</v>
      </c>
    </row>
    <row r="25" spans="3:12" ht="16">
      <c r="C25" s="237">
        <v>49</v>
      </c>
      <c r="D25" s="568">
        <f>'Aktuelle data'!B28</f>
        <v>575843</v>
      </c>
      <c r="E25" s="568"/>
      <c r="F25" s="568">
        <f>'Aktuelle data'!C28</f>
        <v>575843</v>
      </c>
      <c r="G25" s="568"/>
      <c r="H25" s="568">
        <f>'Aktuelle data'!D28</f>
        <v>575843</v>
      </c>
      <c r="I25" s="568"/>
      <c r="J25" s="568">
        <f>'Aktuelle data'!E28</f>
        <v>575843</v>
      </c>
      <c r="K25" s="568"/>
      <c r="L25" s="198">
        <f>'Aktuelle data'!F28</f>
        <v>575843</v>
      </c>
    </row>
    <row r="26" spans="3:12" ht="16">
      <c r="C26" s="237">
        <v>50</v>
      </c>
      <c r="D26" s="568">
        <f>'Aktuelle data'!B29</f>
        <v>616041</v>
      </c>
      <c r="E26" s="568"/>
      <c r="F26" s="568">
        <f>'Aktuelle data'!C29</f>
        <v>616041</v>
      </c>
      <c r="G26" s="568"/>
      <c r="H26" s="568">
        <f>'Aktuelle data'!D29</f>
        <v>616041</v>
      </c>
      <c r="I26" s="568"/>
      <c r="J26" s="568">
        <f>'Aktuelle data'!E29</f>
        <v>616041</v>
      </c>
      <c r="K26" s="568"/>
      <c r="L26" s="198">
        <f>'Aktuelle data'!F29</f>
        <v>616041</v>
      </c>
    </row>
    <row r="27" spans="3:12" ht="16">
      <c r="C27" s="237">
        <v>51</v>
      </c>
      <c r="D27" s="568">
        <f>'Aktuelle data'!B30</f>
        <v>680462</v>
      </c>
      <c r="E27" s="568"/>
      <c r="F27" s="568">
        <f>'Aktuelle data'!C30</f>
        <v>680462</v>
      </c>
      <c r="G27" s="568"/>
      <c r="H27" s="568">
        <f>'Aktuelle data'!D30</f>
        <v>680462</v>
      </c>
      <c r="I27" s="568"/>
      <c r="J27" s="568">
        <f>'Aktuelle data'!E30</f>
        <v>680462</v>
      </c>
      <c r="K27" s="568"/>
      <c r="L27" s="198">
        <f>'Aktuelle data'!F30</f>
        <v>680462</v>
      </c>
    </row>
    <row r="28" spans="3:12" ht="16">
      <c r="C28" s="237">
        <v>52</v>
      </c>
      <c r="D28" s="568">
        <f>'Aktuelle data'!B31</f>
        <v>774281</v>
      </c>
      <c r="E28" s="568"/>
      <c r="F28" s="568">
        <f>'Aktuelle data'!C31</f>
        <v>774281</v>
      </c>
      <c r="G28" s="568"/>
      <c r="H28" s="568">
        <f>'Aktuelle data'!D31</f>
        <v>774281</v>
      </c>
      <c r="I28" s="568"/>
      <c r="J28" s="568">
        <f>'Aktuelle data'!E31</f>
        <v>774281</v>
      </c>
      <c r="K28" s="568"/>
      <c r="L28" s="198">
        <f>'Aktuelle data'!F31</f>
        <v>774281</v>
      </c>
    </row>
    <row r="29" spans="3:12" ht="16">
      <c r="C29" s="237">
        <v>53</v>
      </c>
      <c r="D29" s="568">
        <f>'Aktuelle data'!B32</f>
        <v>850132</v>
      </c>
      <c r="E29" s="568"/>
      <c r="F29" s="568">
        <f>'Aktuelle data'!C32</f>
        <v>850132</v>
      </c>
      <c r="G29" s="568"/>
      <c r="H29" s="568">
        <f>'Aktuelle data'!D32</f>
        <v>850132</v>
      </c>
      <c r="I29" s="568"/>
      <c r="J29" s="568">
        <f>'Aktuelle data'!E32</f>
        <v>850132</v>
      </c>
      <c r="K29" s="568"/>
      <c r="L29" s="198">
        <f>'Aktuelle data'!F32</f>
        <v>850132</v>
      </c>
    </row>
    <row r="30" spans="3:12" ht="16">
      <c r="C30" s="237">
        <v>54</v>
      </c>
      <c r="D30" s="568">
        <f>'Aktuelle data'!B33</f>
        <v>951252</v>
      </c>
      <c r="E30" s="568"/>
      <c r="F30" s="568">
        <f>'Aktuelle data'!C33</f>
        <v>951252</v>
      </c>
      <c r="G30" s="568"/>
      <c r="H30" s="568">
        <f>'Aktuelle data'!D33</f>
        <v>951252</v>
      </c>
      <c r="I30" s="568"/>
      <c r="J30" s="568">
        <f>'Aktuelle data'!E33</f>
        <v>951252</v>
      </c>
      <c r="K30" s="568"/>
      <c r="L30" s="198">
        <f>'Aktuelle data'!F33</f>
        <v>951252</v>
      </c>
    </row>
    <row r="31" spans="3:12" ht="16">
      <c r="C31" s="237">
        <v>55</v>
      </c>
      <c r="D31" s="568">
        <f>'Aktuelle data'!B34</f>
        <v>1072800</v>
      </c>
      <c r="E31" s="568"/>
      <c r="F31" s="568">
        <f>'Aktuelle data'!C34</f>
        <v>1072800</v>
      </c>
      <c r="G31" s="568"/>
      <c r="H31" s="568">
        <f>'Aktuelle data'!D34</f>
        <v>1072800</v>
      </c>
      <c r="I31" s="568"/>
      <c r="J31" s="568">
        <f>'Aktuelle data'!E34</f>
        <v>1072800</v>
      </c>
      <c r="K31" s="568"/>
      <c r="L31" s="198">
        <f>'Aktuelle data'!F34</f>
        <v>1072800</v>
      </c>
    </row>
    <row r="32" spans="3:12" ht="15.5" customHeight="1">
      <c r="C32" s="237" t="s">
        <v>13</v>
      </c>
      <c r="D32" s="568">
        <f>'Aktuelle data'!B35</f>
        <v>1209098</v>
      </c>
      <c r="E32" s="568"/>
      <c r="F32" s="568">
        <f>'Aktuelle data'!C35</f>
        <v>1209098</v>
      </c>
      <c r="G32" s="568"/>
      <c r="H32" s="568">
        <f>'Aktuelle data'!D35</f>
        <v>1209098</v>
      </c>
      <c r="I32" s="568"/>
      <c r="J32" s="568">
        <f>'Aktuelle data'!E35</f>
        <v>1209098</v>
      </c>
      <c r="K32" s="568"/>
      <c r="L32" s="198">
        <f>'Aktuelle data'!F35</f>
        <v>1209098</v>
      </c>
    </row>
    <row r="34" spans="2:12">
      <c r="B34" s="32"/>
    </row>
    <row r="35" spans="2:12">
      <c r="B35" s="559" t="s">
        <v>196</v>
      </c>
      <c r="C35" s="559"/>
      <c r="D35" s="559"/>
      <c r="E35" s="559"/>
      <c r="F35" s="559"/>
      <c r="G35" s="559"/>
      <c r="H35" s="559"/>
      <c r="I35" s="559"/>
      <c r="J35" s="559"/>
      <c r="K35" s="33"/>
      <c r="L35" s="11">
        <f>1500*'Aktuelle data'!C37</f>
        <v>2404.3815</v>
      </c>
    </row>
    <row r="36" spans="2:12">
      <c r="B36" s="559" t="s">
        <v>197</v>
      </c>
      <c r="C36" s="559"/>
      <c r="D36" s="559"/>
      <c r="E36" s="559"/>
      <c r="F36" s="559"/>
      <c r="G36" s="559"/>
      <c r="H36" s="559"/>
      <c r="I36" s="559"/>
      <c r="J36" s="559"/>
      <c r="K36" s="33"/>
      <c r="L36" s="11">
        <f>L35/12</f>
        <v>200.36512500000001</v>
      </c>
    </row>
    <row r="37" spans="2:12">
      <c r="B37" s="552" t="s">
        <v>198</v>
      </c>
      <c r="C37" s="552"/>
      <c r="D37" s="552"/>
      <c r="E37" s="552"/>
      <c r="F37" s="552"/>
      <c r="G37" s="552"/>
      <c r="H37" s="552"/>
      <c r="I37" s="552"/>
      <c r="J37" s="552"/>
    </row>
    <row r="65" spans="3:12" ht="21">
      <c r="C65" s="567" t="s">
        <v>199</v>
      </c>
      <c r="D65" s="567"/>
      <c r="E65" s="567"/>
      <c r="F65" s="567"/>
      <c r="G65" s="567"/>
      <c r="H65" s="567"/>
      <c r="I65" s="567"/>
      <c r="J65" s="567"/>
      <c r="K65" s="567"/>
      <c r="L65" s="567"/>
    </row>
    <row r="66" spans="3:12" ht="16" thickBot="1">
      <c r="C66" s="34"/>
      <c r="D66" s="34"/>
      <c r="E66" s="34"/>
      <c r="F66" s="34"/>
      <c r="G66" s="34"/>
      <c r="H66" s="34"/>
      <c r="I66" s="34"/>
      <c r="J66" s="34"/>
      <c r="K66" s="34"/>
      <c r="L66" s="34"/>
    </row>
    <row r="67" spans="3:12" ht="16">
      <c r="C67" s="240" t="s">
        <v>200</v>
      </c>
      <c r="D67" s="241" t="s">
        <v>8</v>
      </c>
      <c r="E67" s="241"/>
      <c r="F67" s="241" t="s">
        <v>9</v>
      </c>
      <c r="G67" s="241"/>
      <c r="H67" s="241" t="s">
        <v>10</v>
      </c>
      <c r="I67" s="241"/>
      <c r="J67" s="562" t="s">
        <v>11</v>
      </c>
      <c r="K67" s="562"/>
      <c r="L67" s="242" t="s">
        <v>12</v>
      </c>
    </row>
    <row r="68" spans="3:12" ht="16">
      <c r="C68" s="238">
        <v>29</v>
      </c>
      <c r="D68" s="565">
        <f>'Aktuelle data'!I8</f>
        <v>30881.75</v>
      </c>
      <c r="E68" s="565"/>
      <c r="F68" s="565">
        <f>'Aktuelle data'!J8</f>
        <v>31237.166666666668</v>
      </c>
      <c r="G68" s="565"/>
      <c r="H68" s="565">
        <f>'Aktuelle data'!K8</f>
        <v>31483.083333333332</v>
      </c>
      <c r="I68" s="565"/>
      <c r="J68" s="566">
        <f>'Aktuelle data'!L8</f>
        <v>31838.416666666668</v>
      </c>
      <c r="K68" s="566"/>
      <c r="L68" s="201">
        <f>'Aktuelle data'!M8</f>
        <v>32084.5</v>
      </c>
    </row>
    <row r="69" spans="3:12" ht="16">
      <c r="C69" s="238">
        <v>30</v>
      </c>
      <c r="D69" s="565">
        <f>'Aktuelle data'!I9</f>
        <v>31399.25</v>
      </c>
      <c r="E69" s="565"/>
      <c r="F69" s="565">
        <f>'Aktuelle data'!J9</f>
        <v>31735.75</v>
      </c>
      <c r="G69" s="565"/>
      <c r="H69" s="565">
        <f>'Aktuelle data'!K9</f>
        <v>31968.833333333332</v>
      </c>
      <c r="I69" s="565"/>
      <c r="J69" s="566">
        <f>'Aktuelle data'!L9</f>
        <v>32305.166666666668</v>
      </c>
      <c r="K69" s="566"/>
      <c r="L69" s="201">
        <f>'Aktuelle data'!M9</f>
        <v>32538.166666666668</v>
      </c>
    </row>
    <row r="70" spans="3:12" ht="16">
      <c r="C70" s="238">
        <v>31</v>
      </c>
      <c r="D70" s="565">
        <f>'Aktuelle data'!I10</f>
        <v>31928.416666666668</v>
      </c>
      <c r="E70" s="565"/>
      <c r="F70" s="565">
        <f>'Aktuelle data'!J10</f>
        <v>32245</v>
      </c>
      <c r="G70" s="565"/>
      <c r="H70" s="565">
        <f>'Aktuelle data'!K10</f>
        <v>32464.083333333332</v>
      </c>
      <c r="I70" s="565"/>
      <c r="J70" s="566">
        <f>'Aktuelle data'!L10</f>
        <v>32780.666666666664</v>
      </c>
      <c r="K70" s="566"/>
      <c r="L70" s="201">
        <f>'Aktuelle data'!M10</f>
        <v>32999.666666666664</v>
      </c>
    </row>
    <row r="71" spans="3:12" ht="16">
      <c r="C71" s="238">
        <v>32</v>
      </c>
      <c r="D71" s="565">
        <f>'Aktuelle data'!I11</f>
        <v>32469.416666666668</v>
      </c>
      <c r="E71" s="565"/>
      <c r="F71" s="565">
        <f>'Aktuelle data'!J11</f>
        <v>32764.583333333332</v>
      </c>
      <c r="G71" s="565"/>
      <c r="H71" s="565">
        <f>'Aktuelle data'!K11</f>
        <v>32968.833333333336</v>
      </c>
      <c r="I71" s="565"/>
      <c r="J71" s="566">
        <f>'Aktuelle data'!L11</f>
        <v>33264.166666666664</v>
      </c>
      <c r="K71" s="566"/>
      <c r="L71" s="201">
        <f>'Aktuelle data'!M11</f>
        <v>33468.583333333336</v>
      </c>
    </row>
    <row r="72" spans="3:12" ht="16">
      <c r="C72" s="238">
        <v>33</v>
      </c>
      <c r="D72" s="565">
        <f>'Aktuelle data'!I12</f>
        <v>33022.166666666664</v>
      </c>
      <c r="E72" s="565"/>
      <c r="F72" s="565">
        <f>'Aktuelle data'!J12</f>
        <v>33294.833333333336</v>
      </c>
      <c r="G72" s="565"/>
      <c r="H72" s="565">
        <f>'Aktuelle data'!K12</f>
        <v>33483.5</v>
      </c>
      <c r="I72" s="565"/>
      <c r="J72" s="566">
        <f>'Aktuelle data'!L12</f>
        <v>33756.166666666664</v>
      </c>
      <c r="K72" s="566"/>
      <c r="L72" s="201">
        <f>'Aktuelle data'!M12</f>
        <v>33944.75</v>
      </c>
    </row>
    <row r="73" spans="3:12" ht="16">
      <c r="C73" s="238">
        <v>34</v>
      </c>
      <c r="D73" s="565">
        <f>'Aktuelle data'!I13</f>
        <v>33587.75</v>
      </c>
      <c r="E73" s="565"/>
      <c r="F73" s="565">
        <f>'Aktuelle data'!J13</f>
        <v>33836.5</v>
      </c>
      <c r="G73" s="565"/>
      <c r="H73" s="565">
        <f>'Aktuelle data'!K13</f>
        <v>34008.5</v>
      </c>
      <c r="I73" s="565"/>
      <c r="J73" s="566">
        <f>'Aktuelle data'!L13</f>
        <v>34257.25</v>
      </c>
      <c r="K73" s="566"/>
      <c r="L73" s="201">
        <f>'Aktuelle data'!M13</f>
        <v>34429.416666666664</v>
      </c>
    </row>
    <row r="74" spans="3:12" ht="16">
      <c r="C74" s="238">
        <v>35</v>
      </c>
      <c r="D74" s="565">
        <f>'Aktuelle data'!I14</f>
        <v>34165.166666666664</v>
      </c>
      <c r="E74" s="565"/>
      <c r="F74" s="565">
        <f>'Aktuelle data'!J14</f>
        <v>34388.5</v>
      </c>
      <c r="G74" s="565"/>
      <c r="H74" s="565">
        <f>'Aktuelle data'!K14</f>
        <v>34543.083333333336</v>
      </c>
      <c r="I74" s="565"/>
      <c r="J74" s="566">
        <f>'Aktuelle data'!L14</f>
        <v>34766.25</v>
      </c>
      <c r="K74" s="566"/>
      <c r="L74" s="201">
        <f>'Aktuelle data'!M14</f>
        <v>34920.916666666664</v>
      </c>
    </row>
    <row r="75" spans="3:12" ht="16">
      <c r="C75" s="238">
        <v>36</v>
      </c>
      <c r="D75" s="565">
        <f>'Aktuelle data'!I15</f>
        <v>34755.833333333336</v>
      </c>
      <c r="E75" s="565"/>
      <c r="F75" s="565">
        <f>'Aktuelle data'!J15</f>
        <v>34952.333333333336</v>
      </c>
      <c r="G75" s="565"/>
      <c r="H75" s="565">
        <f>'Aktuelle data'!K15</f>
        <v>35088.166666666664</v>
      </c>
      <c r="I75" s="565"/>
      <c r="J75" s="566">
        <f>'Aktuelle data'!L15</f>
        <v>35284.5</v>
      </c>
      <c r="K75" s="566"/>
      <c r="L75" s="201">
        <f>'Aktuelle data'!M15</f>
        <v>35420.5</v>
      </c>
    </row>
    <row r="76" spans="3:12" ht="16">
      <c r="C76" s="238">
        <v>37</v>
      </c>
      <c r="D76" s="565">
        <f>'Aktuelle data'!I16</f>
        <v>35359.333333333336</v>
      </c>
      <c r="E76" s="565"/>
      <c r="F76" s="565">
        <f>'Aktuelle data'!J16</f>
        <v>35527.25</v>
      </c>
      <c r="G76" s="565"/>
      <c r="H76" s="565">
        <f>'Aktuelle data'!K16</f>
        <v>35643.583333333336</v>
      </c>
      <c r="I76" s="565"/>
      <c r="J76" s="566">
        <f>'Aktuelle data'!L16</f>
        <v>35811.5</v>
      </c>
      <c r="K76" s="566"/>
      <c r="L76" s="201">
        <f>'Aktuelle data'!M16</f>
        <v>35927.666666666664</v>
      </c>
    </row>
    <row r="77" spans="3:12" ht="16">
      <c r="C77" s="238">
        <v>38</v>
      </c>
      <c r="D77" s="565">
        <f>'Aktuelle data'!I17</f>
        <v>36000</v>
      </c>
      <c r="E77" s="565"/>
      <c r="F77" s="565">
        <f>'Aktuelle data'!J17</f>
        <v>36140.5</v>
      </c>
      <c r="G77" s="565"/>
      <c r="H77" s="565">
        <f>'Aktuelle data'!K17</f>
        <v>36237.916666666664</v>
      </c>
      <c r="I77" s="565"/>
      <c r="J77" s="566">
        <f>'Aktuelle data'!L17</f>
        <v>36378.416666666664</v>
      </c>
      <c r="K77" s="566"/>
      <c r="L77" s="201">
        <f>'Aktuelle data'!M17</f>
        <v>36475.916666666664</v>
      </c>
    </row>
    <row r="78" spans="3:12" ht="16">
      <c r="C78" s="238">
        <v>39</v>
      </c>
      <c r="D78" s="565">
        <f>'Aktuelle data'!I18</f>
        <v>36643.166666666664</v>
      </c>
      <c r="E78" s="565"/>
      <c r="F78" s="565">
        <f>'Aktuelle data'!J18</f>
        <v>36751.333333333336</v>
      </c>
      <c r="G78" s="565"/>
      <c r="H78" s="565">
        <f>'Aktuelle data'!K18</f>
        <v>36826.333333333336</v>
      </c>
      <c r="I78" s="565"/>
      <c r="J78" s="566">
        <f>'Aktuelle data'!L18</f>
        <v>36934.5</v>
      </c>
      <c r="K78" s="566"/>
      <c r="L78" s="201">
        <f>'Aktuelle data'!M18</f>
        <v>37009.583333333336</v>
      </c>
    </row>
    <row r="79" spans="3:12" ht="16">
      <c r="C79" s="238">
        <v>40</v>
      </c>
      <c r="D79" s="565">
        <f>'Aktuelle data'!I19</f>
        <v>37300.916666666664</v>
      </c>
      <c r="E79" s="565"/>
      <c r="F79" s="565">
        <f>'Aktuelle data'!J19</f>
        <v>37374.916666666664</v>
      </c>
      <c r="G79" s="565"/>
      <c r="H79" s="565">
        <f>'Aktuelle data'!K19</f>
        <v>37426.25</v>
      </c>
      <c r="I79" s="565"/>
      <c r="J79" s="566">
        <f>'Aktuelle data'!L19</f>
        <v>37500.333333333336</v>
      </c>
      <c r="K79" s="566"/>
      <c r="L79" s="201">
        <f>'Aktuelle data'!M19</f>
        <v>37551.666666666664</v>
      </c>
    </row>
    <row r="80" spans="3:12" ht="16">
      <c r="C80" s="238">
        <v>41</v>
      </c>
      <c r="D80" s="565">
        <f>'Aktuelle data'!I20</f>
        <v>37972.916666666664</v>
      </c>
      <c r="E80" s="565"/>
      <c r="F80" s="565">
        <f>'Aktuelle data'!J20</f>
        <v>38010.833333333336</v>
      </c>
      <c r="G80" s="565"/>
      <c r="H80" s="565">
        <f>'Aktuelle data'!K20</f>
        <v>38037.333333333336</v>
      </c>
      <c r="I80" s="565"/>
      <c r="J80" s="566">
        <f>'Aktuelle data'!L20</f>
        <v>38075.083333333336</v>
      </c>
      <c r="K80" s="566"/>
      <c r="L80" s="201">
        <f>'Aktuelle data'!M20</f>
        <v>38101.583333333336</v>
      </c>
    </row>
    <row r="81" spans="3:12" ht="16">
      <c r="C81" s="238">
        <v>42</v>
      </c>
      <c r="D81" s="565">
        <f>'Aktuelle data'!I21</f>
        <v>38659.5</v>
      </c>
      <c r="E81" s="565"/>
      <c r="F81" s="565">
        <f>'Aktuelle data'!J21</f>
        <v>38659.5</v>
      </c>
      <c r="G81" s="565"/>
      <c r="H81" s="565">
        <f>'Aktuelle data'!K21</f>
        <v>38659.5</v>
      </c>
      <c r="I81" s="565"/>
      <c r="J81" s="566">
        <f>'Aktuelle data'!L21</f>
        <v>38659.5</v>
      </c>
      <c r="K81" s="566"/>
      <c r="L81" s="201">
        <f>'Aktuelle data'!M21</f>
        <v>38659.5</v>
      </c>
    </row>
    <row r="82" spans="3:12" ht="16">
      <c r="C82" s="238">
        <v>43</v>
      </c>
      <c r="D82" s="565">
        <f>'Aktuelle data'!I22</f>
        <v>39518.666666666664</v>
      </c>
      <c r="E82" s="565"/>
      <c r="F82" s="565">
        <f>'Aktuelle data'!J22</f>
        <v>39518.666666666664</v>
      </c>
      <c r="G82" s="565"/>
      <c r="H82" s="565">
        <f>'Aktuelle data'!K22</f>
        <v>39518.666666666664</v>
      </c>
      <c r="I82" s="565"/>
      <c r="J82" s="566">
        <f>'Aktuelle data'!L22</f>
        <v>39518.666666666664</v>
      </c>
      <c r="K82" s="566"/>
      <c r="L82" s="201">
        <f>'Aktuelle data'!M22</f>
        <v>39518.666666666664</v>
      </c>
    </row>
    <row r="83" spans="3:12" ht="16">
      <c r="C83" s="238">
        <v>44</v>
      </c>
      <c r="D83" s="565">
        <f>'Aktuelle data'!I23</f>
        <v>40401.583333333336</v>
      </c>
      <c r="E83" s="565"/>
      <c r="F83" s="565">
        <f>'Aktuelle data'!J23</f>
        <v>40401.583333333336</v>
      </c>
      <c r="G83" s="565"/>
      <c r="H83" s="565">
        <f>'Aktuelle data'!K23</f>
        <v>40401.583333333336</v>
      </c>
      <c r="I83" s="565"/>
      <c r="J83" s="566">
        <f>'Aktuelle data'!L23</f>
        <v>40401.583333333336</v>
      </c>
      <c r="K83" s="566"/>
      <c r="L83" s="201">
        <f>'Aktuelle data'!M23</f>
        <v>40401.583333333336</v>
      </c>
    </row>
    <row r="84" spans="3:12" ht="16">
      <c r="C84" s="238">
        <v>45</v>
      </c>
      <c r="D84" s="565">
        <f>'Aktuelle data'!I24</f>
        <v>41308.75</v>
      </c>
      <c r="E84" s="565"/>
      <c r="F84" s="565">
        <f>'Aktuelle data'!J24</f>
        <v>41308.75</v>
      </c>
      <c r="G84" s="565"/>
      <c r="H84" s="565">
        <f>'Aktuelle data'!K24</f>
        <v>41308.75</v>
      </c>
      <c r="I84" s="565"/>
      <c r="J84" s="566">
        <f>'Aktuelle data'!L24</f>
        <v>41308.75</v>
      </c>
      <c r="K84" s="566"/>
      <c r="L84" s="201">
        <f>'Aktuelle data'!M24</f>
        <v>41308.75</v>
      </c>
    </row>
    <row r="85" spans="3:12" ht="16">
      <c r="C85" s="238">
        <v>46</v>
      </c>
      <c r="D85" s="565">
        <f>'Aktuelle data'!I25</f>
        <v>42240.833333333336</v>
      </c>
      <c r="E85" s="565"/>
      <c r="F85" s="565">
        <f>'Aktuelle data'!J25</f>
        <v>42240.833333333336</v>
      </c>
      <c r="G85" s="565"/>
      <c r="H85" s="565">
        <f>'Aktuelle data'!K25</f>
        <v>42240.833333333336</v>
      </c>
      <c r="I85" s="565"/>
      <c r="J85" s="566">
        <f>'Aktuelle data'!L25</f>
        <v>42240.833333333336</v>
      </c>
      <c r="K85" s="566"/>
      <c r="L85" s="201">
        <f>'Aktuelle data'!M25</f>
        <v>42240.833333333336</v>
      </c>
    </row>
    <row r="86" spans="3:12" ht="16">
      <c r="C86" s="238">
        <v>47</v>
      </c>
      <c r="D86" s="565">
        <f>'Aktuelle data'!I26</f>
        <v>42992.75</v>
      </c>
      <c r="E86" s="565"/>
      <c r="F86" s="565">
        <f>'Aktuelle data'!J26</f>
        <v>42992.75</v>
      </c>
      <c r="G86" s="565"/>
      <c r="H86" s="565">
        <f>'Aktuelle data'!K26</f>
        <v>42992.75</v>
      </c>
      <c r="I86" s="565"/>
      <c r="J86" s="566">
        <f>'Aktuelle data'!L26</f>
        <v>42992.75</v>
      </c>
      <c r="K86" s="566"/>
      <c r="L86" s="201">
        <f>'Aktuelle data'!M26</f>
        <v>42992.75</v>
      </c>
    </row>
    <row r="87" spans="3:12" ht="16">
      <c r="C87" s="238">
        <v>48</v>
      </c>
      <c r="D87" s="565">
        <f>'Aktuelle data'!I27</f>
        <v>44969</v>
      </c>
      <c r="E87" s="565"/>
      <c r="F87" s="565">
        <f>'Aktuelle data'!J27</f>
        <v>44969</v>
      </c>
      <c r="G87" s="565"/>
      <c r="H87" s="565">
        <f>'Aktuelle data'!K27</f>
        <v>44969</v>
      </c>
      <c r="I87" s="565"/>
      <c r="J87" s="566">
        <f>'Aktuelle data'!L27</f>
        <v>44969</v>
      </c>
      <c r="K87" s="566"/>
      <c r="L87" s="201">
        <f>'Aktuelle data'!M27</f>
        <v>44969</v>
      </c>
    </row>
    <row r="88" spans="3:12" ht="16">
      <c r="C88" s="238">
        <v>49</v>
      </c>
      <c r="D88" s="565">
        <f>'Aktuelle data'!I28</f>
        <v>47986.916666666664</v>
      </c>
      <c r="E88" s="565"/>
      <c r="F88" s="565">
        <f>'Aktuelle data'!J28</f>
        <v>47986.916666666664</v>
      </c>
      <c r="G88" s="565"/>
      <c r="H88" s="565">
        <f>'Aktuelle data'!K28</f>
        <v>47986.916666666664</v>
      </c>
      <c r="I88" s="565"/>
      <c r="J88" s="566">
        <f>'Aktuelle data'!L28</f>
        <v>47986.916666666664</v>
      </c>
      <c r="K88" s="566"/>
      <c r="L88" s="201">
        <f>'Aktuelle data'!M28</f>
        <v>47986.916666666664</v>
      </c>
    </row>
    <row r="89" spans="3:12" ht="16">
      <c r="C89" s="238">
        <v>50</v>
      </c>
      <c r="D89" s="565">
        <f>'Aktuelle data'!I29</f>
        <v>51336.75</v>
      </c>
      <c r="E89" s="565"/>
      <c r="F89" s="565">
        <f>'Aktuelle data'!J29</f>
        <v>51336.75</v>
      </c>
      <c r="G89" s="565"/>
      <c r="H89" s="565">
        <f>'Aktuelle data'!K29</f>
        <v>51336.75</v>
      </c>
      <c r="I89" s="565"/>
      <c r="J89" s="566">
        <f>'Aktuelle data'!L29</f>
        <v>51336.75</v>
      </c>
      <c r="K89" s="566"/>
      <c r="L89" s="201">
        <f>'Aktuelle data'!M29</f>
        <v>51336.75</v>
      </c>
    </row>
    <row r="90" spans="3:12" ht="16">
      <c r="C90" s="238">
        <v>51</v>
      </c>
      <c r="D90" s="565">
        <f>'Aktuelle data'!I30</f>
        <v>56705.166666666664</v>
      </c>
      <c r="E90" s="565"/>
      <c r="F90" s="565">
        <f>'Aktuelle data'!J30</f>
        <v>56705.166666666664</v>
      </c>
      <c r="G90" s="565"/>
      <c r="H90" s="565">
        <f>'Aktuelle data'!K30</f>
        <v>56705.166666666664</v>
      </c>
      <c r="I90" s="565"/>
      <c r="J90" s="566">
        <f>'Aktuelle data'!L30</f>
        <v>56705.166666666664</v>
      </c>
      <c r="K90" s="566"/>
      <c r="L90" s="201">
        <f>'Aktuelle data'!M30</f>
        <v>56705.166666666664</v>
      </c>
    </row>
    <row r="91" spans="3:12" ht="16">
      <c r="C91" s="238">
        <v>52</v>
      </c>
      <c r="D91" s="565">
        <f>'Aktuelle data'!I31</f>
        <v>64523.416666666664</v>
      </c>
      <c r="E91" s="565"/>
      <c r="F91" s="565">
        <f>'Aktuelle data'!J31</f>
        <v>64523.416666666664</v>
      </c>
      <c r="G91" s="565"/>
      <c r="H91" s="565">
        <f>'Aktuelle data'!K31</f>
        <v>64523.416666666664</v>
      </c>
      <c r="I91" s="565"/>
      <c r="J91" s="566">
        <f>'Aktuelle data'!L31</f>
        <v>64523.416666666664</v>
      </c>
      <c r="K91" s="566"/>
      <c r="L91" s="201">
        <f>'Aktuelle data'!M31</f>
        <v>64523.416666666664</v>
      </c>
    </row>
    <row r="92" spans="3:12" ht="16">
      <c r="C92" s="238">
        <v>53</v>
      </c>
      <c r="D92" s="565">
        <f>'Aktuelle data'!I32</f>
        <v>70844.333333333328</v>
      </c>
      <c r="E92" s="565"/>
      <c r="F92" s="565">
        <f>'Aktuelle data'!J32</f>
        <v>70844.333333333328</v>
      </c>
      <c r="G92" s="565"/>
      <c r="H92" s="565">
        <f>'Aktuelle data'!K32</f>
        <v>70844.333333333328</v>
      </c>
      <c r="I92" s="565"/>
      <c r="J92" s="566">
        <f>'Aktuelle data'!L32</f>
        <v>70844.333333333328</v>
      </c>
      <c r="K92" s="566"/>
      <c r="L92" s="201">
        <f>'Aktuelle data'!M32</f>
        <v>70844.333333333328</v>
      </c>
    </row>
    <row r="93" spans="3:12" ht="16">
      <c r="C93" s="238">
        <v>54</v>
      </c>
      <c r="D93" s="565">
        <f>'Aktuelle data'!I33</f>
        <v>79271</v>
      </c>
      <c r="E93" s="565"/>
      <c r="F93" s="565">
        <f>'Aktuelle data'!J33</f>
        <v>79271</v>
      </c>
      <c r="G93" s="565"/>
      <c r="H93" s="565">
        <f>'Aktuelle data'!K33</f>
        <v>79271</v>
      </c>
      <c r="I93" s="565"/>
      <c r="J93" s="566">
        <f>'Aktuelle data'!L33</f>
        <v>79271</v>
      </c>
      <c r="K93" s="566"/>
      <c r="L93" s="201">
        <f>'Aktuelle data'!M33</f>
        <v>79271</v>
      </c>
    </row>
    <row r="94" spans="3:12" ht="16">
      <c r="C94" s="238">
        <v>55</v>
      </c>
      <c r="D94" s="565">
        <f>'Aktuelle data'!I34</f>
        <v>89400</v>
      </c>
      <c r="E94" s="565"/>
      <c r="F94" s="565">
        <f>'Aktuelle data'!J34</f>
        <v>89400</v>
      </c>
      <c r="G94" s="565"/>
      <c r="H94" s="565">
        <f>'Aktuelle data'!K34</f>
        <v>89400</v>
      </c>
      <c r="I94" s="565"/>
      <c r="J94" s="566">
        <f>'Aktuelle data'!L34</f>
        <v>89400</v>
      </c>
      <c r="K94" s="566"/>
      <c r="L94" s="201">
        <f>'Aktuelle data'!M34</f>
        <v>89400</v>
      </c>
    </row>
    <row r="95" spans="3:12" ht="17" thickBot="1">
      <c r="C95" s="239" t="s">
        <v>13</v>
      </c>
      <c r="D95" s="563">
        <f>'Aktuelle data'!I35</f>
        <v>100758.16666666667</v>
      </c>
      <c r="E95" s="563"/>
      <c r="F95" s="563">
        <f>'Aktuelle data'!J35</f>
        <v>100758.16666666667</v>
      </c>
      <c r="G95" s="563"/>
      <c r="H95" s="563">
        <f>'Aktuelle data'!K35</f>
        <v>100758.16666666667</v>
      </c>
      <c r="I95" s="563"/>
      <c r="J95" s="564">
        <f>'Aktuelle data'!L35</f>
        <v>100758.16666666667</v>
      </c>
      <c r="K95" s="564"/>
      <c r="L95" s="202">
        <f>'Aktuelle data'!M35</f>
        <v>100758.16666666667</v>
      </c>
    </row>
    <row r="98" spans="2:12">
      <c r="B98" s="559" t="s">
        <v>196</v>
      </c>
      <c r="C98" s="559"/>
      <c r="D98" s="559"/>
      <c r="E98" s="559"/>
      <c r="F98" s="559"/>
      <c r="G98" s="559"/>
      <c r="H98" s="559"/>
      <c r="I98" s="559"/>
      <c r="J98" s="559"/>
      <c r="K98" s="33"/>
      <c r="L98" s="11">
        <f>1500*'Aktuelle data'!C37</f>
        <v>2404.3815</v>
      </c>
    </row>
    <row r="99" spans="2:12">
      <c r="B99" s="559" t="s">
        <v>197</v>
      </c>
      <c r="C99" s="559"/>
      <c r="D99" s="559"/>
      <c r="E99" s="559"/>
      <c r="F99" s="559"/>
      <c r="G99" s="559"/>
      <c r="H99" s="559"/>
      <c r="I99" s="559"/>
      <c r="J99" s="559"/>
      <c r="K99" s="33"/>
      <c r="L99" s="11">
        <f>L98/12</f>
        <v>200.36512500000001</v>
      </c>
    </row>
    <row r="100" spans="2:12">
      <c r="B100" s="552" t="s">
        <v>198</v>
      </c>
      <c r="C100" s="552"/>
      <c r="D100" s="552"/>
      <c r="E100" s="552"/>
      <c r="F100" s="552"/>
      <c r="G100" s="552"/>
      <c r="H100" s="552"/>
      <c r="I100" s="552"/>
      <c r="J100" s="552"/>
    </row>
    <row r="129" spans="3:12" ht="24">
      <c r="C129" s="561" t="s">
        <v>201</v>
      </c>
      <c r="D129" s="561"/>
      <c r="E129" s="561"/>
      <c r="F129" s="561"/>
      <c r="G129" s="561"/>
      <c r="H129" s="561"/>
      <c r="I129" s="561"/>
      <c r="J129" s="561"/>
      <c r="K129" s="561"/>
      <c r="L129" s="561"/>
    </row>
    <row r="130" spans="3:12" ht="24">
      <c r="C130" s="561" t="s">
        <v>202</v>
      </c>
      <c r="D130" s="561"/>
      <c r="E130" s="561"/>
      <c r="F130" s="561"/>
      <c r="G130" s="561"/>
      <c r="H130" s="561"/>
      <c r="I130" s="561"/>
      <c r="J130" s="561"/>
      <c r="K130" s="561"/>
      <c r="L130" s="561"/>
    </row>
    <row r="131" spans="3:12" ht="14.5" customHeight="1" thickBot="1">
      <c r="C131" s="36"/>
      <c r="D131" s="36"/>
      <c r="E131" s="36"/>
      <c r="F131" s="36"/>
      <c r="G131" s="36"/>
      <c r="H131" s="36"/>
      <c r="I131" s="36"/>
      <c r="J131" s="36"/>
      <c r="K131" s="36"/>
    </row>
    <row r="132" spans="3:12" ht="16">
      <c r="C132" s="240" t="s">
        <v>200</v>
      </c>
      <c r="D132" s="241" t="s">
        <v>8</v>
      </c>
      <c r="E132" s="241"/>
      <c r="F132" s="241" t="s">
        <v>9</v>
      </c>
      <c r="G132" s="241"/>
      <c r="H132" s="241" t="s">
        <v>10</v>
      </c>
      <c r="I132" s="241"/>
      <c r="J132" s="562" t="s">
        <v>11</v>
      </c>
      <c r="K132" s="562"/>
      <c r="L132" s="242" t="s">
        <v>12</v>
      </c>
    </row>
    <row r="133" spans="3:12" ht="16">
      <c r="C133" s="238">
        <v>29</v>
      </c>
      <c r="D133" s="560">
        <f>'Aktuelle data'!P8</f>
        <v>370581</v>
      </c>
      <c r="E133" s="560"/>
      <c r="F133" s="560">
        <f>'Aktuelle data'!Q8</f>
        <v>374846</v>
      </c>
      <c r="G133" s="560"/>
      <c r="H133" s="560">
        <f>'Aktuelle data'!R8</f>
        <v>377797</v>
      </c>
      <c r="I133" s="560"/>
      <c r="J133" s="560">
        <f>'Aktuelle data'!S8</f>
        <v>382061</v>
      </c>
      <c r="K133" s="560"/>
      <c r="L133" s="199">
        <f>'Aktuelle data'!T8</f>
        <v>385014</v>
      </c>
    </row>
    <row r="134" spans="3:12" ht="16">
      <c r="C134" s="238">
        <v>30</v>
      </c>
      <c r="D134" s="560">
        <f>'Aktuelle data'!P9</f>
        <v>376791</v>
      </c>
      <c r="E134" s="560"/>
      <c r="F134" s="560">
        <f>'Aktuelle data'!Q9</f>
        <v>380829</v>
      </c>
      <c r="G134" s="560"/>
      <c r="H134" s="560">
        <f>'Aktuelle data'!R9</f>
        <v>383626</v>
      </c>
      <c r="I134" s="560"/>
      <c r="J134" s="560">
        <f>'Aktuelle data'!S9</f>
        <v>387662</v>
      </c>
      <c r="K134" s="560"/>
      <c r="L134" s="199">
        <f>'Aktuelle data'!T9</f>
        <v>390458</v>
      </c>
    </row>
    <row r="135" spans="3:12" ht="16">
      <c r="C135" s="238">
        <v>31</v>
      </c>
      <c r="D135" s="560">
        <f>'Aktuelle data'!P10</f>
        <v>383141</v>
      </c>
      <c r="E135" s="560"/>
      <c r="F135" s="560">
        <f>'Aktuelle data'!Q10</f>
        <v>386940</v>
      </c>
      <c r="G135" s="560"/>
      <c r="H135" s="560">
        <f>'Aktuelle data'!R10</f>
        <v>389569</v>
      </c>
      <c r="I135" s="560"/>
      <c r="J135" s="560">
        <f>'Aktuelle data'!S10</f>
        <v>393368</v>
      </c>
      <c r="K135" s="560"/>
      <c r="L135" s="199">
        <f>'Aktuelle data'!T10</f>
        <v>395996</v>
      </c>
    </row>
    <row r="136" spans="3:12" ht="16">
      <c r="C136" s="238">
        <v>32</v>
      </c>
      <c r="D136" s="560">
        <f>'Aktuelle data'!P11</f>
        <v>389633</v>
      </c>
      <c r="E136" s="560"/>
      <c r="F136" s="560">
        <f>'Aktuelle data'!Q11</f>
        <v>393175</v>
      </c>
      <c r="G136" s="560"/>
      <c r="H136" s="560">
        <f>'Aktuelle data'!R11</f>
        <v>395626</v>
      </c>
      <c r="I136" s="560"/>
      <c r="J136" s="560">
        <f>'Aktuelle data'!S11</f>
        <v>399170</v>
      </c>
      <c r="K136" s="560"/>
      <c r="L136" s="199">
        <f>'Aktuelle data'!T11</f>
        <v>401623</v>
      </c>
    </row>
    <row r="137" spans="3:12" ht="16">
      <c r="C137" s="238">
        <v>33</v>
      </c>
      <c r="D137" s="560">
        <f>'Aktuelle data'!P12</f>
        <v>396266</v>
      </c>
      <c r="E137" s="560"/>
      <c r="F137" s="560">
        <f>'Aktuelle data'!Q12</f>
        <v>399538</v>
      </c>
      <c r="G137" s="560"/>
      <c r="H137" s="560">
        <f>'Aktuelle data'!R12</f>
        <v>401802</v>
      </c>
      <c r="I137" s="560"/>
      <c r="J137" s="560">
        <f>'Aktuelle data'!S12</f>
        <v>405074</v>
      </c>
      <c r="K137" s="560"/>
      <c r="L137" s="199">
        <f>'Aktuelle data'!T12</f>
        <v>407337</v>
      </c>
    </row>
    <row r="138" spans="3:12" ht="16">
      <c r="C138" s="238">
        <v>34</v>
      </c>
      <c r="D138" s="560">
        <f>'Aktuelle data'!P13</f>
        <v>403053</v>
      </c>
      <c r="E138" s="560"/>
      <c r="F138" s="560">
        <f>'Aktuelle data'!Q13</f>
        <v>406038</v>
      </c>
      <c r="G138" s="560"/>
      <c r="H138" s="560">
        <f>'Aktuelle data'!R13</f>
        <v>408102</v>
      </c>
      <c r="I138" s="560"/>
      <c r="J138" s="560">
        <f>'Aktuelle data'!S13</f>
        <v>411087</v>
      </c>
      <c r="K138" s="560"/>
      <c r="L138" s="199">
        <f>'Aktuelle data'!T13</f>
        <v>413153</v>
      </c>
    </row>
    <row r="139" spans="3:12" ht="16">
      <c r="C139" s="238">
        <v>35</v>
      </c>
      <c r="D139" s="560">
        <f>'Aktuelle data'!P14</f>
        <v>409982</v>
      </c>
      <c r="E139" s="560"/>
      <c r="F139" s="560">
        <f>'Aktuelle data'!Q14</f>
        <v>412662</v>
      </c>
      <c r="G139" s="560"/>
      <c r="H139" s="560">
        <f>'Aktuelle data'!R14</f>
        <v>414517</v>
      </c>
      <c r="I139" s="560"/>
      <c r="J139" s="560">
        <f>'Aktuelle data'!S14</f>
        <v>417195</v>
      </c>
      <c r="K139" s="560"/>
      <c r="L139" s="199">
        <f>'Aktuelle data'!T14</f>
        <v>419051</v>
      </c>
    </row>
    <row r="140" spans="3:12" ht="16">
      <c r="C140" s="238">
        <v>36</v>
      </c>
      <c r="D140" s="560">
        <f>'Aktuelle data'!P15</f>
        <v>417070</v>
      </c>
      <c r="E140" s="560"/>
      <c r="F140" s="560">
        <f>'Aktuelle data'!Q15</f>
        <v>419428</v>
      </c>
      <c r="G140" s="560"/>
      <c r="H140" s="560">
        <f>'Aktuelle data'!R15</f>
        <v>421058</v>
      </c>
      <c r="I140" s="560"/>
      <c r="J140" s="560">
        <f>'Aktuelle data'!S15</f>
        <v>423414</v>
      </c>
      <c r="K140" s="560"/>
      <c r="L140" s="199">
        <f>'Aktuelle data'!T15</f>
        <v>425046</v>
      </c>
    </row>
    <row r="141" spans="3:12" ht="16">
      <c r="C141" s="238">
        <v>37</v>
      </c>
      <c r="D141" s="560">
        <f>'Aktuelle data'!P16</f>
        <v>424312</v>
      </c>
      <c r="E141" s="560"/>
      <c r="F141" s="560">
        <f>'Aktuelle data'!Q16</f>
        <v>426327</v>
      </c>
      <c r="G141" s="560"/>
      <c r="H141" s="560">
        <f>'Aktuelle data'!R16</f>
        <v>427723</v>
      </c>
      <c r="I141" s="560"/>
      <c r="J141" s="560">
        <f>'Aktuelle data'!S16</f>
        <v>429738</v>
      </c>
      <c r="K141" s="560"/>
      <c r="L141" s="199">
        <f>'Aktuelle data'!T16</f>
        <v>431132</v>
      </c>
    </row>
    <row r="142" spans="3:12" ht="16">
      <c r="C142" s="238">
        <v>38</v>
      </c>
      <c r="D142" s="560">
        <f>'Aktuelle data'!P17</f>
        <v>432000</v>
      </c>
      <c r="E142" s="560"/>
      <c r="F142" s="560">
        <f>'Aktuelle data'!Q17</f>
        <v>433686</v>
      </c>
      <c r="G142" s="560"/>
      <c r="H142" s="560">
        <f>'Aktuelle data'!R17</f>
        <v>434855</v>
      </c>
      <c r="I142" s="560"/>
      <c r="J142" s="560">
        <f>'Aktuelle data'!S17</f>
        <v>436541</v>
      </c>
      <c r="K142" s="560"/>
      <c r="L142" s="199">
        <f>'Aktuelle data'!T17</f>
        <v>437711</v>
      </c>
    </row>
    <row r="143" spans="3:12" ht="16">
      <c r="C143" s="238">
        <v>39</v>
      </c>
      <c r="D143" s="560">
        <f>'Aktuelle data'!P18</f>
        <v>439718</v>
      </c>
      <c r="E143" s="560"/>
      <c r="F143" s="560">
        <f>'Aktuelle data'!Q18</f>
        <v>441016</v>
      </c>
      <c r="G143" s="560"/>
      <c r="H143" s="560">
        <f>'Aktuelle data'!R18</f>
        <v>441916</v>
      </c>
      <c r="I143" s="560"/>
      <c r="J143" s="560">
        <f>'Aktuelle data'!S18</f>
        <v>443214</v>
      </c>
      <c r="K143" s="560"/>
      <c r="L143" s="199">
        <f>'Aktuelle data'!T18</f>
        <v>444115</v>
      </c>
    </row>
    <row r="144" spans="3:12" ht="16">
      <c r="C144" s="238">
        <v>40</v>
      </c>
      <c r="D144" s="560">
        <f>'Aktuelle data'!P19</f>
        <v>447611</v>
      </c>
      <c r="E144" s="560"/>
      <c r="F144" s="560">
        <f>'Aktuelle data'!Q19</f>
        <v>448499</v>
      </c>
      <c r="G144" s="560"/>
      <c r="H144" s="560">
        <f>'Aktuelle data'!R19</f>
        <v>449115</v>
      </c>
      <c r="I144" s="560"/>
      <c r="J144" s="560">
        <f>'Aktuelle data'!S19</f>
        <v>450004</v>
      </c>
      <c r="K144" s="560"/>
      <c r="L144" s="199">
        <f>'Aktuelle data'!T19</f>
        <v>450620</v>
      </c>
    </row>
    <row r="145" spans="3:12" ht="16">
      <c r="C145" s="238">
        <v>41</v>
      </c>
      <c r="D145" s="560">
        <f>'Aktuelle data'!P20</f>
        <v>455675</v>
      </c>
      <c r="E145" s="560"/>
      <c r="F145" s="560">
        <f>'Aktuelle data'!Q20</f>
        <v>456130</v>
      </c>
      <c r="G145" s="560"/>
      <c r="H145" s="560">
        <f>'Aktuelle data'!R20</f>
        <v>456448</v>
      </c>
      <c r="I145" s="560"/>
      <c r="J145" s="560">
        <f>'Aktuelle data'!S20</f>
        <v>456901</v>
      </c>
      <c r="K145" s="560"/>
      <c r="L145" s="199">
        <f>'Aktuelle data'!T20</f>
        <v>457219</v>
      </c>
    </row>
    <row r="146" spans="3:12" ht="16">
      <c r="C146" s="238">
        <v>42</v>
      </c>
      <c r="D146" s="560">
        <f>'Aktuelle data'!P21</f>
        <v>463914</v>
      </c>
      <c r="E146" s="560"/>
      <c r="F146" s="560">
        <f>'Aktuelle data'!Q21</f>
        <v>463914</v>
      </c>
      <c r="G146" s="560"/>
      <c r="H146" s="560">
        <f>'Aktuelle data'!R21</f>
        <v>463914</v>
      </c>
      <c r="I146" s="560"/>
      <c r="J146" s="560">
        <f>'Aktuelle data'!S21</f>
        <v>463914</v>
      </c>
      <c r="K146" s="560"/>
      <c r="L146" s="199">
        <f>'Aktuelle data'!T21</f>
        <v>463914</v>
      </c>
    </row>
    <row r="147" spans="3:12" ht="16">
      <c r="C147" s="238">
        <v>43</v>
      </c>
      <c r="D147" s="560">
        <f>'Aktuelle data'!P22</f>
        <v>474224</v>
      </c>
      <c r="E147" s="560"/>
      <c r="F147" s="560">
        <f>'Aktuelle data'!Q22</f>
        <v>474224</v>
      </c>
      <c r="G147" s="560"/>
      <c r="H147" s="560">
        <f>'Aktuelle data'!R22</f>
        <v>474224</v>
      </c>
      <c r="I147" s="560"/>
      <c r="J147" s="560">
        <f>'Aktuelle data'!S22</f>
        <v>474224</v>
      </c>
      <c r="K147" s="560"/>
      <c r="L147" s="199">
        <f>'Aktuelle data'!T22</f>
        <v>474224</v>
      </c>
    </row>
    <row r="148" spans="3:12" ht="16">
      <c r="C148" s="238">
        <v>44</v>
      </c>
      <c r="D148" s="560">
        <f>'Aktuelle data'!P23</f>
        <v>484819</v>
      </c>
      <c r="E148" s="560"/>
      <c r="F148" s="560">
        <f>'Aktuelle data'!Q23</f>
        <v>484819</v>
      </c>
      <c r="G148" s="560"/>
      <c r="H148" s="560">
        <f>'Aktuelle data'!R23</f>
        <v>484819</v>
      </c>
      <c r="I148" s="560"/>
      <c r="J148" s="560">
        <f>'Aktuelle data'!S23</f>
        <v>484819</v>
      </c>
      <c r="K148" s="560"/>
      <c r="L148" s="199">
        <f>'Aktuelle data'!T23</f>
        <v>484819</v>
      </c>
    </row>
    <row r="149" spans="3:12" ht="16">
      <c r="C149" s="238">
        <v>45</v>
      </c>
      <c r="D149" s="560">
        <f>'Aktuelle data'!P24</f>
        <v>495705</v>
      </c>
      <c r="E149" s="560"/>
      <c r="F149" s="560">
        <f>'Aktuelle data'!Q24</f>
        <v>495705</v>
      </c>
      <c r="G149" s="560"/>
      <c r="H149" s="560">
        <f>'Aktuelle data'!R24</f>
        <v>495705</v>
      </c>
      <c r="I149" s="560"/>
      <c r="J149" s="560">
        <f>'Aktuelle data'!S24</f>
        <v>495705</v>
      </c>
      <c r="K149" s="560"/>
      <c r="L149" s="199">
        <f>'Aktuelle data'!T24</f>
        <v>495705</v>
      </c>
    </row>
    <row r="150" spans="3:12" ht="16">
      <c r="C150" s="238">
        <v>46</v>
      </c>
      <c r="D150" s="560">
        <f>'Aktuelle data'!P25</f>
        <v>506890</v>
      </c>
      <c r="E150" s="560"/>
      <c r="F150" s="560">
        <f>'Aktuelle data'!Q25</f>
        <v>506890</v>
      </c>
      <c r="G150" s="560"/>
      <c r="H150" s="560">
        <f>'Aktuelle data'!R25</f>
        <v>506890</v>
      </c>
      <c r="I150" s="560"/>
      <c r="J150" s="560">
        <f>'Aktuelle data'!S25</f>
        <v>506890</v>
      </c>
      <c r="K150" s="560"/>
      <c r="L150" s="199">
        <f>'Aktuelle data'!T25</f>
        <v>506890</v>
      </c>
    </row>
    <row r="151" spans="3:12" ht="16">
      <c r="C151" s="238">
        <v>47</v>
      </c>
      <c r="D151" s="560">
        <f>'Aktuelle data'!P26</f>
        <v>515913</v>
      </c>
      <c r="E151" s="560"/>
      <c r="F151" s="560">
        <f>'Aktuelle data'!Q26</f>
        <v>515913</v>
      </c>
      <c r="G151" s="560"/>
      <c r="H151" s="560">
        <f>'Aktuelle data'!R26</f>
        <v>515913</v>
      </c>
      <c r="I151" s="560"/>
      <c r="J151" s="560">
        <f>'Aktuelle data'!S26</f>
        <v>515913</v>
      </c>
      <c r="K151" s="560"/>
      <c r="L151" s="199">
        <f>'Aktuelle data'!T26</f>
        <v>515913</v>
      </c>
    </row>
    <row r="152" spans="3:12" ht="16">
      <c r="C152" s="238">
        <v>48</v>
      </c>
      <c r="D152" s="560">
        <f>'Aktuelle data'!P27</f>
        <v>539628</v>
      </c>
      <c r="E152" s="560"/>
      <c r="F152" s="560">
        <f>'Aktuelle data'!Q27</f>
        <v>539628</v>
      </c>
      <c r="G152" s="560"/>
      <c r="H152" s="560">
        <f>'Aktuelle data'!R27</f>
        <v>539628</v>
      </c>
      <c r="I152" s="560"/>
      <c r="J152" s="560">
        <f>'Aktuelle data'!S27</f>
        <v>539628</v>
      </c>
      <c r="K152" s="560"/>
      <c r="L152" s="199">
        <f>'Aktuelle data'!T27</f>
        <v>539628</v>
      </c>
    </row>
    <row r="153" spans="3:12" ht="16">
      <c r="C153" s="238">
        <v>49</v>
      </c>
      <c r="D153" s="560">
        <f>'Aktuelle data'!P28</f>
        <v>575843</v>
      </c>
      <c r="E153" s="560"/>
      <c r="F153" s="560">
        <f>'Aktuelle data'!Q28</f>
        <v>575843</v>
      </c>
      <c r="G153" s="560"/>
      <c r="H153" s="560">
        <f>'Aktuelle data'!R28</f>
        <v>575843</v>
      </c>
      <c r="I153" s="560"/>
      <c r="J153" s="560">
        <f>'Aktuelle data'!S28</f>
        <v>575843</v>
      </c>
      <c r="K153" s="560"/>
      <c r="L153" s="199">
        <f>'Aktuelle data'!T28</f>
        <v>575843</v>
      </c>
    </row>
    <row r="154" spans="3:12" ht="16">
      <c r="C154" s="238">
        <v>50</v>
      </c>
      <c r="D154" s="560">
        <f>'Aktuelle data'!P29</f>
        <v>630571</v>
      </c>
      <c r="E154" s="560"/>
      <c r="F154" s="560">
        <f>'Aktuelle data'!Q29</f>
        <v>630571</v>
      </c>
      <c r="G154" s="560"/>
      <c r="H154" s="560">
        <f>'Aktuelle data'!R29</f>
        <v>630571</v>
      </c>
      <c r="I154" s="560"/>
      <c r="J154" s="560">
        <f>'Aktuelle data'!S29</f>
        <v>630571</v>
      </c>
      <c r="K154" s="560"/>
      <c r="L154" s="199">
        <f>'Aktuelle data'!T29</f>
        <v>630571</v>
      </c>
    </row>
    <row r="155" spans="3:12" ht="16">
      <c r="C155" s="238">
        <v>51</v>
      </c>
      <c r="D155" s="560">
        <f>'Aktuelle data'!P30</f>
        <v>698779</v>
      </c>
      <c r="E155" s="560"/>
      <c r="F155" s="560">
        <f>'Aktuelle data'!Q30</f>
        <v>698779</v>
      </c>
      <c r="G155" s="560"/>
      <c r="H155" s="560">
        <f>'Aktuelle data'!R30</f>
        <v>698779</v>
      </c>
      <c r="I155" s="560"/>
      <c r="J155" s="560">
        <f>'Aktuelle data'!S30</f>
        <v>698779</v>
      </c>
      <c r="K155" s="560"/>
      <c r="L155" s="199">
        <f>'Aktuelle data'!T30</f>
        <v>698779</v>
      </c>
    </row>
    <row r="156" spans="3:12" ht="16">
      <c r="C156" s="238">
        <v>52</v>
      </c>
      <c r="D156" s="560">
        <f>'Aktuelle data'!P31</f>
        <v>795836</v>
      </c>
      <c r="E156" s="560"/>
      <c r="F156" s="560">
        <f>'Aktuelle data'!Q31</f>
        <v>795836</v>
      </c>
      <c r="G156" s="560"/>
      <c r="H156" s="560">
        <f>'Aktuelle data'!R31</f>
        <v>795836</v>
      </c>
      <c r="I156" s="560"/>
      <c r="J156" s="560">
        <f>'Aktuelle data'!S31</f>
        <v>795836</v>
      </c>
      <c r="K156" s="560"/>
      <c r="L156" s="199">
        <f>'Aktuelle data'!T31</f>
        <v>795836</v>
      </c>
    </row>
    <row r="157" spans="3:12" ht="16">
      <c r="C157" s="238">
        <v>53</v>
      </c>
      <c r="D157" s="560">
        <f>'Aktuelle data'!P32</f>
        <v>885898</v>
      </c>
      <c r="E157" s="560"/>
      <c r="F157" s="560">
        <f>'Aktuelle data'!Q32</f>
        <v>885898</v>
      </c>
      <c r="G157" s="560"/>
      <c r="H157" s="560">
        <f>'Aktuelle data'!R32</f>
        <v>885898</v>
      </c>
      <c r="I157" s="560"/>
      <c r="J157" s="560">
        <f>'Aktuelle data'!S32</f>
        <v>885898</v>
      </c>
      <c r="K157" s="560"/>
      <c r="L157" s="199">
        <f>'Aktuelle data'!T32</f>
        <v>885898</v>
      </c>
    </row>
    <row r="158" spans="3:12" ht="16">
      <c r="C158" s="238">
        <v>54</v>
      </c>
      <c r="D158" s="560">
        <f>'Aktuelle data'!P33</f>
        <v>998145</v>
      </c>
      <c r="E158" s="560"/>
      <c r="F158" s="560">
        <f>'Aktuelle data'!Q33</f>
        <v>998145</v>
      </c>
      <c r="G158" s="560"/>
      <c r="H158" s="560">
        <f>'Aktuelle data'!R33</f>
        <v>998145</v>
      </c>
      <c r="I158" s="560"/>
      <c r="J158" s="560">
        <f>'Aktuelle data'!S33</f>
        <v>998145</v>
      </c>
      <c r="K158" s="560"/>
      <c r="L158" s="199">
        <f>'Aktuelle data'!T33</f>
        <v>998145</v>
      </c>
    </row>
    <row r="159" spans="3:12" ht="16">
      <c r="C159" s="238">
        <v>55</v>
      </c>
      <c r="D159" s="560">
        <f>'Aktuelle data'!P34</f>
        <v>1119693</v>
      </c>
      <c r="E159" s="560"/>
      <c r="F159" s="560">
        <f>'Aktuelle data'!Q34</f>
        <v>1119693</v>
      </c>
      <c r="G159" s="560"/>
      <c r="H159" s="560">
        <f>'Aktuelle data'!R34</f>
        <v>1119693</v>
      </c>
      <c r="I159" s="560"/>
      <c r="J159" s="560">
        <f>'Aktuelle data'!S34</f>
        <v>1119693</v>
      </c>
      <c r="K159" s="560"/>
      <c r="L159" s="199">
        <f>'Aktuelle data'!T34</f>
        <v>1119693</v>
      </c>
    </row>
    <row r="160" spans="3:12" ht="17" thickBot="1">
      <c r="C160" s="239" t="s">
        <v>13</v>
      </c>
      <c r="D160" s="558">
        <f>'Aktuelle data'!P35</f>
        <v>1255994</v>
      </c>
      <c r="E160" s="558"/>
      <c r="F160" s="558">
        <f>'Aktuelle data'!Q35</f>
        <v>1255994</v>
      </c>
      <c r="G160" s="558"/>
      <c r="H160" s="558">
        <f>'Aktuelle data'!R35</f>
        <v>1255994</v>
      </c>
      <c r="I160" s="558"/>
      <c r="J160" s="558">
        <f>'Aktuelle data'!S35</f>
        <v>1255994</v>
      </c>
      <c r="K160" s="558"/>
      <c r="L160" s="200">
        <f>'Aktuelle data'!T35</f>
        <v>1255994</v>
      </c>
    </row>
    <row r="163" spans="2:12">
      <c r="B163" s="559" t="s">
        <v>196</v>
      </c>
      <c r="C163" s="559"/>
      <c r="D163" s="559"/>
      <c r="E163" s="559"/>
      <c r="F163" s="559"/>
      <c r="G163" s="559"/>
      <c r="H163" s="559"/>
      <c r="I163" s="559"/>
      <c r="J163" s="559"/>
      <c r="K163" s="33"/>
      <c r="L163" s="11">
        <f>'Aktuelle data'!B44*'Aktuelle data'!C37</f>
        <v>2404.3815</v>
      </c>
    </row>
    <row r="164" spans="2:12">
      <c r="B164" s="559" t="s">
        <v>197</v>
      </c>
      <c r="C164" s="559"/>
      <c r="D164" s="559"/>
      <c r="E164" s="559"/>
      <c r="F164" s="559"/>
      <c r="G164" s="559"/>
      <c r="H164" s="559"/>
      <c r="I164" s="559"/>
      <c r="J164" s="559"/>
      <c r="K164" s="33"/>
      <c r="L164" s="11">
        <f>L163/12</f>
        <v>200.36512500000001</v>
      </c>
    </row>
    <row r="165" spans="2:12">
      <c r="B165" s="552" t="s">
        <v>198</v>
      </c>
      <c r="C165" s="552"/>
      <c r="D165" s="552"/>
      <c r="E165" s="552"/>
      <c r="F165" s="552"/>
      <c r="G165" s="552"/>
      <c r="H165" s="552"/>
      <c r="I165" s="552"/>
      <c r="J165" s="552"/>
    </row>
    <row r="191" spans="2:12" ht="34">
      <c r="B191" s="553" t="s">
        <v>203</v>
      </c>
      <c r="C191" s="553"/>
      <c r="D191" s="553"/>
      <c r="E191" s="553"/>
      <c r="F191" s="553"/>
      <c r="G191" s="553"/>
      <c r="H191" s="553"/>
      <c r="I191" s="553"/>
      <c r="J191" s="553"/>
      <c r="K191" s="553"/>
      <c r="L191" s="553"/>
    </row>
    <row r="192" spans="2:12" ht="15.5" customHeight="1" thickBot="1">
      <c r="B192" s="31"/>
      <c r="C192" s="31"/>
      <c r="D192" s="31"/>
      <c r="E192" s="31"/>
      <c r="F192" s="31"/>
      <c r="G192" s="31"/>
      <c r="H192" s="31"/>
      <c r="I192" s="31"/>
      <c r="J192" s="31"/>
      <c r="K192" s="31"/>
      <c r="L192" s="31"/>
    </row>
    <row r="193" spans="2:13" ht="22.75" customHeight="1">
      <c r="B193" s="554" t="s">
        <v>204</v>
      </c>
      <c r="C193" s="555"/>
      <c r="E193" s="544" t="s">
        <v>207</v>
      </c>
      <c r="F193" s="545"/>
      <c r="G193" s="545"/>
      <c r="H193" s="546"/>
      <c r="K193" s="556" t="s">
        <v>206</v>
      </c>
      <c r="L193" s="557"/>
      <c r="M193" s="243"/>
    </row>
    <row r="194" spans="2:13">
      <c r="B194" s="37" t="s">
        <v>35</v>
      </c>
      <c r="C194" s="38">
        <v>4</v>
      </c>
      <c r="E194" s="536" t="s">
        <v>114</v>
      </c>
      <c r="F194" s="537"/>
      <c r="G194" s="538"/>
      <c r="H194" s="38">
        <v>0</v>
      </c>
      <c r="K194" s="540" t="s">
        <v>92</v>
      </c>
      <c r="L194" s="542"/>
      <c r="M194" s="39">
        <v>0</v>
      </c>
    </row>
    <row r="195" spans="2:13">
      <c r="B195" s="37" t="s">
        <v>36</v>
      </c>
      <c r="C195" s="38">
        <v>3</v>
      </c>
      <c r="E195" s="540" t="s">
        <v>115</v>
      </c>
      <c r="F195" s="541"/>
      <c r="G195" s="542"/>
      <c r="H195" s="38">
        <v>0</v>
      </c>
      <c r="K195" s="540" t="s">
        <v>93</v>
      </c>
      <c r="L195" s="542"/>
      <c r="M195" s="39">
        <v>0</v>
      </c>
    </row>
    <row r="196" spans="2:13">
      <c r="B196" s="37" t="s">
        <v>37</v>
      </c>
      <c r="C196" s="38">
        <v>4</v>
      </c>
      <c r="E196" s="540" t="s">
        <v>116</v>
      </c>
      <c r="F196" s="541"/>
      <c r="G196" s="542"/>
      <c r="H196" s="38">
        <v>0</v>
      </c>
      <c r="K196" s="540" t="s">
        <v>94</v>
      </c>
      <c r="L196" s="542"/>
      <c r="M196" s="39">
        <v>0</v>
      </c>
    </row>
    <row r="197" spans="2:13">
      <c r="B197" s="37" t="s">
        <v>38</v>
      </c>
      <c r="C197" s="38">
        <v>0</v>
      </c>
      <c r="E197" s="540" t="s">
        <v>117</v>
      </c>
      <c r="F197" s="541"/>
      <c r="G197" s="542"/>
      <c r="H197" s="98">
        <v>0</v>
      </c>
      <c r="K197" s="540" t="s">
        <v>95</v>
      </c>
      <c r="L197" s="542"/>
      <c r="M197" s="39">
        <v>1</v>
      </c>
    </row>
    <row r="198" spans="2:13">
      <c r="B198" s="37" t="s">
        <v>39</v>
      </c>
      <c r="C198" s="38">
        <v>4</v>
      </c>
      <c r="E198" s="540" t="s">
        <v>118</v>
      </c>
      <c r="F198" s="541"/>
      <c r="G198" s="542"/>
      <c r="H198" s="38">
        <v>0</v>
      </c>
      <c r="K198" s="540" t="s">
        <v>96</v>
      </c>
      <c r="L198" s="542"/>
      <c r="M198" s="39">
        <v>0</v>
      </c>
    </row>
    <row r="199" spans="2:13">
      <c r="B199" s="37" t="s">
        <v>40</v>
      </c>
      <c r="C199" s="38">
        <v>4</v>
      </c>
      <c r="E199" s="540" t="s">
        <v>119</v>
      </c>
      <c r="F199" s="541"/>
      <c r="G199" s="542"/>
      <c r="H199" s="38">
        <v>0</v>
      </c>
      <c r="K199" s="540" t="s">
        <v>97</v>
      </c>
      <c r="L199" s="542"/>
      <c r="M199" s="39">
        <v>0</v>
      </c>
    </row>
    <row r="200" spans="2:13">
      <c r="B200" s="37" t="s">
        <v>41</v>
      </c>
      <c r="C200" s="38">
        <v>4</v>
      </c>
      <c r="E200" s="540" t="s">
        <v>120</v>
      </c>
      <c r="F200" s="541"/>
      <c r="G200" s="542"/>
      <c r="H200" s="38">
        <v>0</v>
      </c>
      <c r="K200" s="540" t="s">
        <v>98</v>
      </c>
      <c r="L200" s="542"/>
      <c r="M200" s="39">
        <v>1</v>
      </c>
    </row>
    <row r="201" spans="2:13">
      <c r="B201" s="37" t="s">
        <v>42</v>
      </c>
      <c r="C201" s="38">
        <v>3</v>
      </c>
      <c r="E201" s="540" t="s">
        <v>121</v>
      </c>
      <c r="F201" s="541"/>
      <c r="G201" s="542"/>
      <c r="H201" s="38">
        <v>0</v>
      </c>
      <c r="K201" s="540" t="s">
        <v>99</v>
      </c>
      <c r="L201" s="542"/>
      <c r="M201" s="39">
        <v>0</v>
      </c>
    </row>
    <row r="202" spans="2:13">
      <c r="B202" s="37" t="s">
        <v>43</v>
      </c>
      <c r="C202" s="38">
        <v>4</v>
      </c>
      <c r="E202" s="540" t="s">
        <v>122</v>
      </c>
      <c r="F202" s="541"/>
      <c r="G202" s="542"/>
      <c r="H202" s="38">
        <v>0</v>
      </c>
      <c r="K202" s="540" t="s">
        <v>100</v>
      </c>
      <c r="L202" s="542"/>
      <c r="M202" s="39">
        <v>1</v>
      </c>
    </row>
    <row r="203" spans="2:13">
      <c r="B203" s="37" t="s">
        <v>44</v>
      </c>
      <c r="C203" s="38">
        <v>3</v>
      </c>
      <c r="E203" s="540" t="s">
        <v>123</v>
      </c>
      <c r="F203" s="541"/>
      <c r="G203" s="542"/>
      <c r="H203" s="38">
        <v>0</v>
      </c>
      <c r="K203" s="540" t="s">
        <v>101</v>
      </c>
      <c r="L203" s="542"/>
      <c r="M203" s="39">
        <v>0</v>
      </c>
    </row>
    <row r="204" spans="2:13">
      <c r="B204" s="37" t="s">
        <v>45</v>
      </c>
      <c r="C204" s="38">
        <v>3</v>
      </c>
      <c r="E204" s="540" t="s">
        <v>124</v>
      </c>
      <c r="F204" s="541"/>
      <c r="G204" s="542"/>
      <c r="H204" s="38">
        <v>0</v>
      </c>
      <c r="K204" s="540" t="s">
        <v>102</v>
      </c>
      <c r="L204" s="542"/>
      <c r="M204" s="39">
        <v>0</v>
      </c>
    </row>
    <row r="205" spans="2:13">
      <c r="B205" s="37" t="s">
        <v>46</v>
      </c>
      <c r="C205" s="38">
        <v>4</v>
      </c>
      <c r="E205" s="540" t="s">
        <v>125</v>
      </c>
      <c r="F205" s="541"/>
      <c r="G205" s="542"/>
      <c r="H205" s="38">
        <v>0</v>
      </c>
      <c r="K205" s="549" t="s">
        <v>103</v>
      </c>
      <c r="L205" s="539"/>
      <c r="M205" s="39">
        <v>0</v>
      </c>
    </row>
    <row r="206" spans="2:13" ht="14.5" customHeight="1">
      <c r="B206" s="37" t="s">
        <v>47</v>
      </c>
      <c r="C206" s="38">
        <v>4</v>
      </c>
      <c r="E206" s="540" t="s">
        <v>126</v>
      </c>
      <c r="F206" s="541"/>
      <c r="G206" s="542"/>
      <c r="H206" s="38">
        <v>0</v>
      </c>
      <c r="K206" s="550" t="s">
        <v>303</v>
      </c>
      <c r="L206" s="551"/>
      <c r="M206" s="39">
        <v>0</v>
      </c>
    </row>
    <row r="207" spans="2:13" ht="14.5" customHeight="1">
      <c r="B207" s="37" t="s">
        <v>48</v>
      </c>
      <c r="C207" s="38">
        <v>4</v>
      </c>
      <c r="E207" s="540" t="s">
        <v>127</v>
      </c>
      <c r="F207" s="541"/>
      <c r="G207" s="542"/>
      <c r="H207" s="38">
        <v>1</v>
      </c>
      <c r="K207" s="549" t="s">
        <v>104</v>
      </c>
      <c r="L207" s="539"/>
      <c r="M207" s="39">
        <v>1</v>
      </c>
    </row>
    <row r="208" spans="2:13" ht="14.5" customHeight="1">
      <c r="B208" s="37" t="s">
        <v>49</v>
      </c>
      <c r="C208" s="38">
        <v>4</v>
      </c>
      <c r="E208" s="540" t="s">
        <v>128</v>
      </c>
      <c r="F208" s="541"/>
      <c r="G208" s="542"/>
      <c r="H208" s="38">
        <v>0</v>
      </c>
      <c r="K208" s="540" t="s">
        <v>105</v>
      </c>
      <c r="L208" s="542"/>
      <c r="M208" s="39">
        <v>1</v>
      </c>
    </row>
    <row r="209" spans="2:14" ht="14.5" customHeight="1">
      <c r="B209" s="37" t="s">
        <v>50</v>
      </c>
      <c r="C209" s="38">
        <v>4</v>
      </c>
      <c r="E209" s="540" t="s">
        <v>129</v>
      </c>
      <c r="F209" s="541"/>
      <c r="G209" s="542"/>
      <c r="H209" s="38">
        <v>0</v>
      </c>
      <c r="K209" s="540" t="s">
        <v>106</v>
      </c>
      <c r="L209" s="542"/>
      <c r="M209" s="39">
        <v>0</v>
      </c>
    </row>
    <row r="210" spans="2:14" ht="14.5" customHeight="1">
      <c r="B210" s="37" t="s">
        <v>51</v>
      </c>
      <c r="C210" s="38">
        <v>3</v>
      </c>
      <c r="D210" s="41"/>
      <c r="E210" s="540" t="s">
        <v>130</v>
      </c>
      <c r="F210" s="541"/>
      <c r="G210" s="542"/>
      <c r="H210" s="38">
        <v>0</v>
      </c>
      <c r="K210" s="540" t="s">
        <v>107</v>
      </c>
      <c r="L210" s="542"/>
      <c r="M210" s="39">
        <v>1</v>
      </c>
    </row>
    <row r="211" spans="2:14" ht="14.5" customHeight="1">
      <c r="B211" s="37" t="s">
        <v>52</v>
      </c>
      <c r="C211" s="38">
        <v>3</v>
      </c>
      <c r="E211" s="540" t="s">
        <v>131</v>
      </c>
      <c r="F211" s="541"/>
      <c r="G211" s="542"/>
      <c r="H211" s="38">
        <v>0</v>
      </c>
      <c r="K211" s="540" t="s">
        <v>108</v>
      </c>
      <c r="L211" s="542"/>
      <c r="M211" s="39">
        <v>0</v>
      </c>
    </row>
    <row r="212" spans="2:14" ht="16" thickBot="1">
      <c r="B212" s="37" t="s">
        <v>53</v>
      </c>
      <c r="C212" s="38">
        <v>4</v>
      </c>
      <c r="E212" s="528" t="s">
        <v>132</v>
      </c>
      <c r="F212" s="529"/>
      <c r="G212" s="530"/>
      <c r="H212" s="40">
        <v>2</v>
      </c>
      <c r="K212" s="540" t="s">
        <v>109</v>
      </c>
      <c r="L212" s="542"/>
      <c r="M212" s="39">
        <v>0</v>
      </c>
    </row>
    <row r="213" spans="2:14" ht="16" thickBot="1">
      <c r="B213" s="37" t="s">
        <v>54</v>
      </c>
      <c r="C213" s="38">
        <v>3</v>
      </c>
      <c r="K213" s="540" t="s">
        <v>110</v>
      </c>
      <c r="L213" s="542"/>
      <c r="M213" s="39">
        <v>0</v>
      </c>
    </row>
    <row r="214" spans="2:14">
      <c r="B214" s="37" t="s">
        <v>55</v>
      </c>
      <c r="C214" s="38">
        <v>4</v>
      </c>
      <c r="E214" s="544" t="s">
        <v>205</v>
      </c>
      <c r="F214" s="545"/>
      <c r="G214" s="545"/>
      <c r="H214" s="546"/>
      <c r="K214" s="540" t="s">
        <v>111</v>
      </c>
      <c r="L214" s="542"/>
      <c r="M214" s="39">
        <v>0</v>
      </c>
    </row>
    <row r="215" spans="2:14">
      <c r="B215" s="37" t="s">
        <v>56</v>
      </c>
      <c r="C215" s="38">
        <v>4</v>
      </c>
      <c r="E215" s="536" t="s">
        <v>65</v>
      </c>
      <c r="F215" s="537"/>
      <c r="G215" s="538"/>
      <c r="H215" s="38">
        <v>0</v>
      </c>
      <c r="K215" s="540" t="s">
        <v>112</v>
      </c>
      <c r="L215" s="542"/>
      <c r="M215" s="39">
        <v>0</v>
      </c>
    </row>
    <row r="216" spans="2:14" ht="16" thickBot="1">
      <c r="B216" s="37" t="s">
        <v>57</v>
      </c>
      <c r="C216" s="38">
        <v>3</v>
      </c>
      <c r="E216" s="540" t="s">
        <v>66</v>
      </c>
      <c r="F216" s="541"/>
      <c r="G216" s="542"/>
      <c r="H216" s="38">
        <v>0</v>
      </c>
      <c r="I216" s="46"/>
      <c r="K216" s="547" t="s">
        <v>113</v>
      </c>
      <c r="L216" s="548"/>
      <c r="M216" s="42">
        <v>0</v>
      </c>
    </row>
    <row r="217" spans="2:14" ht="14.5" customHeight="1">
      <c r="B217" s="37" t="s">
        <v>58</v>
      </c>
      <c r="C217" s="38">
        <v>4</v>
      </c>
      <c r="E217" s="540" t="s">
        <v>67</v>
      </c>
      <c r="F217" s="541"/>
      <c r="G217" s="542"/>
      <c r="H217" s="38">
        <v>0</v>
      </c>
      <c r="I217" s="46"/>
      <c r="N217" s="161"/>
    </row>
    <row r="218" spans="2:14" ht="14.5" customHeight="1">
      <c r="B218" s="37" t="s">
        <v>59</v>
      </c>
      <c r="C218" s="38">
        <v>4</v>
      </c>
      <c r="E218" s="540" t="s">
        <v>68</v>
      </c>
      <c r="F218" s="541"/>
      <c r="G218" s="542"/>
      <c r="H218" s="38">
        <v>1</v>
      </c>
      <c r="I218" s="46"/>
      <c r="K218" s="543" t="s">
        <v>208</v>
      </c>
      <c r="L218" s="543"/>
      <c r="M218" s="543"/>
    </row>
    <row r="219" spans="2:14" ht="24" customHeight="1">
      <c r="B219" s="37" t="s">
        <v>60</v>
      </c>
      <c r="C219" s="38">
        <v>4</v>
      </c>
      <c r="E219" s="540" t="s">
        <v>69</v>
      </c>
      <c r="F219" s="541"/>
      <c r="G219" s="542"/>
      <c r="H219" s="38">
        <v>2</v>
      </c>
      <c r="I219" s="46"/>
      <c r="K219" s="539" t="s">
        <v>81</v>
      </c>
      <c r="L219" s="539"/>
      <c r="M219" s="304">
        <v>0</v>
      </c>
    </row>
    <row r="220" spans="2:14" ht="14.5" customHeight="1">
      <c r="B220" s="37" t="s">
        <v>61</v>
      </c>
      <c r="C220" s="38">
        <v>4</v>
      </c>
      <c r="E220" s="540" t="s">
        <v>70</v>
      </c>
      <c r="F220" s="541"/>
      <c r="G220" s="542"/>
      <c r="H220" s="38">
        <v>2</v>
      </c>
      <c r="I220" s="46"/>
      <c r="K220" s="539" t="s">
        <v>82</v>
      </c>
      <c r="L220" s="539"/>
      <c r="M220" s="304">
        <v>1</v>
      </c>
    </row>
    <row r="221" spans="2:14" ht="14.5" customHeight="1">
      <c r="B221" s="37" t="s">
        <v>62</v>
      </c>
      <c r="C221" s="38">
        <v>4</v>
      </c>
      <c r="E221" s="540" t="s">
        <v>71</v>
      </c>
      <c r="F221" s="541"/>
      <c r="G221" s="542"/>
      <c r="H221" s="38">
        <v>0</v>
      </c>
      <c r="I221" s="46"/>
      <c r="K221" s="539" t="s">
        <v>83</v>
      </c>
      <c r="L221" s="539"/>
      <c r="M221" s="304">
        <v>0</v>
      </c>
    </row>
    <row r="222" spans="2:14" ht="14.5" customHeight="1">
      <c r="B222" s="37" t="s">
        <v>63</v>
      </c>
      <c r="C222" s="38">
        <v>4</v>
      </c>
      <c r="E222" s="540" t="s">
        <v>72</v>
      </c>
      <c r="F222" s="541"/>
      <c r="G222" s="542"/>
      <c r="H222" s="38">
        <v>1</v>
      </c>
      <c r="I222" s="46"/>
      <c r="J222" s="43"/>
      <c r="K222" s="539" t="s">
        <v>84</v>
      </c>
      <c r="L222" s="539"/>
      <c r="M222" s="304">
        <v>0</v>
      </c>
    </row>
    <row r="223" spans="2:14" ht="15" customHeight="1" thickBot="1">
      <c r="B223" s="44" t="s">
        <v>64</v>
      </c>
      <c r="C223" s="40">
        <v>4</v>
      </c>
      <c r="E223" s="540" t="s">
        <v>73</v>
      </c>
      <c r="F223" s="541"/>
      <c r="G223" s="542"/>
      <c r="H223" s="38">
        <v>0</v>
      </c>
      <c r="I223" s="46"/>
      <c r="K223" s="539" t="s">
        <v>85</v>
      </c>
      <c r="L223" s="539"/>
      <c r="M223" s="304">
        <v>0</v>
      </c>
    </row>
    <row r="224" spans="2:14" ht="14.5" customHeight="1">
      <c r="B224" s="45"/>
      <c r="C224" s="46"/>
      <c r="E224" s="540" t="s">
        <v>74</v>
      </c>
      <c r="F224" s="541"/>
      <c r="G224" s="542"/>
      <c r="H224" s="38">
        <v>0</v>
      </c>
      <c r="I224" s="46"/>
      <c r="K224" s="539" t="s">
        <v>86</v>
      </c>
      <c r="L224" s="539"/>
      <c r="M224" s="304">
        <v>0</v>
      </c>
    </row>
    <row r="225" spans="5:13" ht="14.5" customHeight="1">
      <c r="E225" s="540" t="s">
        <v>75</v>
      </c>
      <c r="F225" s="541"/>
      <c r="G225" s="542"/>
      <c r="H225" s="38">
        <v>2</v>
      </c>
      <c r="I225" s="46"/>
      <c r="K225" s="539" t="s">
        <v>87</v>
      </c>
      <c r="L225" s="539"/>
      <c r="M225" s="304">
        <v>0</v>
      </c>
    </row>
    <row r="226" spans="5:13" ht="14.5" customHeight="1">
      <c r="E226" s="540" t="s">
        <v>76</v>
      </c>
      <c r="F226" s="541"/>
      <c r="G226" s="542"/>
      <c r="H226" s="38">
        <v>1</v>
      </c>
      <c r="I226" s="46"/>
      <c r="K226" s="539" t="s">
        <v>88</v>
      </c>
      <c r="L226" s="539"/>
      <c r="M226" s="304">
        <v>0</v>
      </c>
    </row>
    <row r="227" spans="5:13" ht="14.5" customHeight="1">
      <c r="E227" s="536" t="s">
        <v>77</v>
      </c>
      <c r="F227" s="537"/>
      <c r="G227" s="538"/>
      <c r="H227" s="38">
        <v>2</v>
      </c>
      <c r="I227" s="46"/>
      <c r="K227" s="539" t="s">
        <v>89</v>
      </c>
      <c r="L227" s="539"/>
      <c r="M227" s="304">
        <v>0</v>
      </c>
    </row>
    <row r="228" spans="5:13" ht="15" customHeight="1">
      <c r="E228" s="540" t="s">
        <v>78</v>
      </c>
      <c r="F228" s="541"/>
      <c r="G228" s="542"/>
      <c r="H228" s="38">
        <v>0</v>
      </c>
      <c r="I228" s="46"/>
      <c r="K228" s="539" t="s">
        <v>90</v>
      </c>
      <c r="L228" s="539"/>
      <c r="M228" s="304">
        <v>0</v>
      </c>
    </row>
    <row r="229" spans="5:13">
      <c r="E229" s="540" t="s">
        <v>79</v>
      </c>
      <c r="F229" s="541"/>
      <c r="G229" s="542"/>
      <c r="H229" s="38">
        <v>0</v>
      </c>
      <c r="I229" s="46"/>
      <c r="K229" s="539" t="s">
        <v>91</v>
      </c>
      <c r="L229" s="539"/>
      <c r="M229" s="304">
        <v>1</v>
      </c>
    </row>
    <row r="230" spans="5:13" ht="16" thickBot="1">
      <c r="E230" s="528" t="s">
        <v>80</v>
      </c>
      <c r="F230" s="529"/>
      <c r="G230" s="530"/>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c r="B256" s="63"/>
      <c r="C256" s="67"/>
      <c r="H256" s="61"/>
      <c r="I256" s="61"/>
      <c r="L256" s="68"/>
    </row>
    <row r="257" spans="2:13">
      <c r="B257" s="63"/>
      <c r="C257" s="67"/>
      <c r="H257" s="61"/>
      <c r="I257" s="61"/>
      <c r="L257" s="68"/>
    </row>
    <row r="258" spans="2:13" ht="20">
      <c r="B258" s="93" t="s">
        <v>289</v>
      </c>
      <c r="C258" s="93"/>
      <c r="D258" s="93"/>
      <c r="E258" s="93"/>
      <c r="F258" s="93"/>
      <c r="G258" s="94"/>
      <c r="H258" s="93"/>
      <c r="I258" s="93"/>
      <c r="J258" s="93"/>
      <c r="K258" s="93"/>
      <c r="L258" s="93"/>
      <c r="M258" s="74"/>
    </row>
    <row r="259" spans="2:13">
      <c r="B259" s="71"/>
    </row>
    <row r="260" spans="2:13" ht="31.25" customHeight="1">
      <c r="B260" s="495" t="s">
        <v>231</v>
      </c>
      <c r="C260" s="495"/>
      <c r="D260" s="495"/>
      <c r="E260" s="495"/>
      <c r="F260" s="495"/>
      <c r="G260" s="495"/>
      <c r="H260" s="495"/>
      <c r="I260" s="495"/>
      <c r="J260" s="495"/>
      <c r="K260" s="495"/>
      <c r="L260" s="28">
        <f>'Aktuelle data'!C37</f>
        <v>1.602921</v>
      </c>
    </row>
    <row r="261" spans="2:13">
      <c r="B261" s="27"/>
      <c r="C261" s="27"/>
      <c r="D261" s="27"/>
      <c r="E261" s="27"/>
      <c r="F261" s="27"/>
      <c r="G261" s="27"/>
      <c r="H261" s="27"/>
      <c r="I261" s="27"/>
      <c r="J261" s="27"/>
      <c r="K261" s="27"/>
      <c r="L261" s="28"/>
    </row>
    <row r="262" spans="2:13" ht="20">
      <c r="B262" s="496" t="s">
        <v>290</v>
      </c>
      <c r="C262" s="496"/>
      <c r="D262" s="496"/>
      <c r="E262" s="496"/>
      <c r="F262" s="496"/>
      <c r="G262" s="496"/>
      <c r="H262" s="496"/>
      <c r="I262" s="496"/>
      <c r="J262" s="496"/>
      <c r="K262" s="496"/>
      <c r="L262" s="496"/>
    </row>
    <row r="263" spans="2:13" ht="21" thickBot="1">
      <c r="B263" s="74"/>
      <c r="C263" s="74"/>
      <c r="D263" s="74"/>
      <c r="E263" s="74"/>
      <c r="F263" s="74"/>
      <c r="G263" s="74"/>
      <c r="H263" s="74"/>
      <c r="I263" s="74"/>
      <c r="J263" s="74"/>
      <c r="K263" s="74"/>
      <c r="L263" s="74"/>
    </row>
    <row r="264" spans="2:13">
      <c r="C264" s="497" t="s">
        <v>216</v>
      </c>
      <c r="D264" s="498"/>
      <c r="E264" s="498"/>
      <c r="F264" s="498"/>
      <c r="G264" s="498"/>
      <c r="H264" s="498"/>
      <c r="I264" s="498"/>
      <c r="J264" s="253">
        <f>'Aktuelle data'!C37</f>
        <v>1.602921</v>
      </c>
    </row>
    <row r="265" spans="2:13" ht="55.5" customHeight="1">
      <c r="C265" s="254" t="s">
        <v>213</v>
      </c>
      <c r="D265" s="255" t="s">
        <v>209</v>
      </c>
      <c r="E265" s="499" t="s">
        <v>210</v>
      </c>
      <c r="F265" s="499"/>
      <c r="G265" s="499" t="s">
        <v>211</v>
      </c>
      <c r="H265" s="499"/>
      <c r="I265" s="499" t="s">
        <v>212</v>
      </c>
      <c r="J265" s="500"/>
    </row>
    <row r="266" spans="2:13">
      <c r="C266" s="195">
        <v>1000</v>
      </c>
      <c r="D266" s="132">
        <f>'Aktuelle data'!AD7</f>
        <v>1602.921</v>
      </c>
      <c r="E266" s="194"/>
      <c r="F266" s="133">
        <f>'Aktuelle data'!AE7</f>
        <v>133.57675</v>
      </c>
      <c r="G266" s="194"/>
      <c r="H266" s="133">
        <f>'Aktuelle data'!AF7</f>
        <v>312.89017920000003</v>
      </c>
      <c r="I266" s="194"/>
      <c r="J266" s="134">
        <f>'Aktuelle data'!AG7</f>
        <v>1915.8111792</v>
      </c>
    </row>
    <row r="267" spans="2:13">
      <c r="C267" s="131">
        <v>1500</v>
      </c>
      <c r="D267" s="132">
        <f>'Aktuelle data'!AD8</f>
        <v>2404.3815</v>
      </c>
      <c r="E267" s="59"/>
      <c r="F267" s="133">
        <f>'Aktuelle data'!AE8</f>
        <v>200.36512500000001</v>
      </c>
      <c r="G267" s="59"/>
      <c r="H267" s="133">
        <f>'Aktuelle data'!AF8</f>
        <v>469.33526879999999</v>
      </c>
      <c r="I267" s="59"/>
      <c r="J267" s="134">
        <f>'Aktuelle data'!AG8</f>
        <v>2873.7167688</v>
      </c>
    </row>
    <row r="268" spans="2:13">
      <c r="C268" s="131">
        <v>2500</v>
      </c>
      <c r="D268" s="132">
        <f>'Aktuelle data'!AD9</f>
        <v>4007.3025000000002</v>
      </c>
      <c r="E268" s="59"/>
      <c r="F268" s="133">
        <f>'Aktuelle data'!AE9</f>
        <v>333.94187500000004</v>
      </c>
      <c r="G268" s="59"/>
      <c r="H268" s="133">
        <f>'Aktuelle data'!AF9</f>
        <v>782.22544800000003</v>
      </c>
      <c r="I268" s="59"/>
      <c r="J268" s="134">
        <f>'Aktuelle data'!AG9</f>
        <v>4789.5279479999999</v>
      </c>
    </row>
    <row r="269" spans="2:13">
      <c r="C269" s="131">
        <v>2800</v>
      </c>
      <c r="D269" s="132">
        <f>'Aktuelle data'!AD10</f>
        <v>4488.1787999999997</v>
      </c>
      <c r="E269" s="59"/>
      <c r="F269" s="133">
        <f>'Aktuelle data'!AE10</f>
        <v>374.01489999999995</v>
      </c>
      <c r="G269" s="59"/>
      <c r="H269" s="133">
        <f>'Aktuelle data'!AF10</f>
        <v>876.09250175999989</v>
      </c>
      <c r="I269" s="59"/>
      <c r="J269" s="134">
        <f>'Aktuelle data'!AG10</f>
        <v>5364.2713017599999</v>
      </c>
    </row>
    <row r="270" spans="2:13">
      <c r="C270" s="131">
        <v>3100</v>
      </c>
      <c r="D270" s="132">
        <f>'Aktuelle data'!AD11</f>
        <v>4969.0551000000005</v>
      </c>
      <c r="E270" s="59"/>
      <c r="F270" s="133">
        <f>'Aktuelle data'!AE11</f>
        <v>414.08792500000004</v>
      </c>
      <c r="G270" s="59"/>
      <c r="H270" s="133">
        <f>'Aktuelle data'!AF11</f>
        <v>969.95955552000009</v>
      </c>
      <c r="I270" s="59"/>
      <c r="J270" s="134">
        <f>'Aktuelle data'!AG11</f>
        <v>5939.0146555200008</v>
      </c>
    </row>
    <row r="271" spans="2:13">
      <c r="C271" s="131">
        <v>3400</v>
      </c>
      <c r="D271" s="132">
        <f>'Aktuelle data'!AD12</f>
        <v>5449.9314000000004</v>
      </c>
      <c r="E271" s="59"/>
      <c r="F271" s="133">
        <f>'Aktuelle data'!AE12</f>
        <v>454.16095000000001</v>
      </c>
      <c r="G271" s="59"/>
      <c r="H271" s="133">
        <f>'Aktuelle data'!AF12</f>
        <v>1063.8266092800002</v>
      </c>
      <c r="I271" s="59"/>
      <c r="J271" s="134">
        <f>'Aktuelle data'!AG12</f>
        <v>6513.7580092800008</v>
      </c>
    </row>
    <row r="272" spans="2:13">
      <c r="C272" s="131">
        <v>3600</v>
      </c>
      <c r="D272" s="132">
        <f>'Aktuelle data'!AD13</f>
        <v>5770.5155999999997</v>
      </c>
      <c r="E272" s="59"/>
      <c r="F272" s="133">
        <f>'Aktuelle data'!AE13</f>
        <v>480.87629999999996</v>
      </c>
      <c r="G272" s="59"/>
      <c r="H272" s="133">
        <f>'Aktuelle data'!AF13</f>
        <v>1126.4046451199999</v>
      </c>
      <c r="I272" s="59"/>
      <c r="J272" s="134">
        <f>'Aktuelle data'!AG13</f>
        <v>6896.9202451199999</v>
      </c>
    </row>
    <row r="273" spans="2:10">
      <c r="C273" s="131">
        <v>3800</v>
      </c>
      <c r="D273" s="132">
        <f>'Aktuelle data'!AD14</f>
        <v>6091.0998</v>
      </c>
      <c r="E273" s="59"/>
      <c r="F273" s="133">
        <f>'Aktuelle data'!AE14</f>
        <v>507.59165000000002</v>
      </c>
      <c r="G273" s="59"/>
      <c r="H273" s="133">
        <f>'Aktuelle data'!AF14</f>
        <v>1188.9826809599999</v>
      </c>
      <c r="I273" s="59"/>
      <c r="J273" s="134">
        <f>'Aktuelle data'!AG14</f>
        <v>7280.0824809599999</v>
      </c>
    </row>
    <row r="274" spans="2:10">
      <c r="C274" s="131">
        <v>4100</v>
      </c>
      <c r="D274" s="132">
        <f>'Aktuelle data'!AD15</f>
        <v>6571.9760999999999</v>
      </c>
      <c r="E274" s="59"/>
      <c r="F274" s="133">
        <f>'Aktuelle data'!AE15</f>
        <v>547.66467499999999</v>
      </c>
      <c r="G274" s="59"/>
      <c r="H274" s="133">
        <f>'Aktuelle data'!AF15</f>
        <v>1282.84973472</v>
      </c>
      <c r="I274" s="59"/>
      <c r="J274" s="134">
        <f>'Aktuelle data'!AG15</f>
        <v>7854.8258347199999</v>
      </c>
    </row>
    <row r="275" spans="2:10">
      <c r="C275" s="131">
        <v>4300</v>
      </c>
      <c r="D275" s="132">
        <f>'Aktuelle data'!AD16</f>
        <v>6892.5603000000001</v>
      </c>
      <c r="E275" s="59"/>
      <c r="F275" s="133">
        <f>'Aktuelle data'!AE16</f>
        <v>574.38002500000005</v>
      </c>
      <c r="G275" s="59"/>
      <c r="H275" s="133">
        <f>'Aktuelle data'!AF16</f>
        <v>1345.42777056</v>
      </c>
      <c r="I275" s="59"/>
      <c r="J275" s="134">
        <f>'Aktuelle data'!AG16</f>
        <v>8237.9880705600008</v>
      </c>
    </row>
    <row r="276" spans="2:10">
      <c r="C276" s="131">
        <v>4800</v>
      </c>
      <c r="D276" s="132">
        <f>'Aktuelle data'!AD17</f>
        <v>7694.0208000000002</v>
      </c>
      <c r="E276" s="59"/>
      <c r="F276" s="133">
        <f>'Aktuelle data'!AE17</f>
        <v>641.16840000000002</v>
      </c>
      <c r="G276" s="59"/>
      <c r="H276" s="133">
        <f>'Aktuelle data'!AF17</f>
        <v>1501.8728601600001</v>
      </c>
      <c r="I276" s="59"/>
      <c r="J276" s="134">
        <f>'Aktuelle data'!AG17</f>
        <v>9195.8936601599999</v>
      </c>
    </row>
    <row r="277" spans="2:10">
      <c r="C277" s="131">
        <v>4900</v>
      </c>
      <c r="D277" s="132">
        <f>'Aktuelle data'!AD18</f>
        <v>7854.3128999999999</v>
      </c>
      <c r="E277" s="59"/>
      <c r="F277" s="133">
        <f>'Aktuelle data'!AE18</f>
        <v>654.52607499999999</v>
      </c>
      <c r="G277" s="59"/>
      <c r="H277" s="133">
        <f>'Aktuelle data'!AF18</f>
        <v>1533.16187808</v>
      </c>
      <c r="I277" s="59"/>
      <c r="J277" s="134">
        <f>'Aktuelle data'!AG18</f>
        <v>9387.4747780799989</v>
      </c>
    </row>
    <row r="278" spans="2:10">
      <c r="C278" s="131">
        <v>5200</v>
      </c>
      <c r="D278" s="132">
        <f>'Aktuelle data'!AD19</f>
        <v>8335.1892000000007</v>
      </c>
      <c r="E278" s="59"/>
      <c r="F278" s="133">
        <f>'Aktuelle data'!AE19</f>
        <v>694.59910000000002</v>
      </c>
      <c r="G278" s="59"/>
      <c r="H278" s="133">
        <f>'Aktuelle data'!AF19</f>
        <v>1627.02893184</v>
      </c>
      <c r="I278" s="59"/>
      <c r="J278" s="134">
        <f>'Aktuelle data'!AG19</f>
        <v>9962.2181318399998</v>
      </c>
    </row>
    <row r="279" spans="2:10">
      <c r="C279" s="131">
        <v>6000</v>
      </c>
      <c r="D279" s="132">
        <f>'Aktuelle data'!AD20</f>
        <v>9617.5259999999998</v>
      </c>
      <c r="E279" s="59"/>
      <c r="F279" s="133">
        <f>'Aktuelle data'!AE20</f>
        <v>801.46050000000002</v>
      </c>
      <c r="G279" s="59"/>
      <c r="H279" s="133">
        <f>'Aktuelle data'!AF20</f>
        <v>1877.3410752</v>
      </c>
      <c r="I279" s="59"/>
      <c r="J279" s="134">
        <f>'Aktuelle data'!AG20</f>
        <v>11494.8670752</v>
      </c>
    </row>
    <row r="280" spans="2:10">
      <c r="C280" s="131">
        <v>7000</v>
      </c>
      <c r="D280" s="132">
        <f>'Aktuelle data'!AD21</f>
        <v>11220.447</v>
      </c>
      <c r="E280" s="59"/>
      <c r="F280" s="133">
        <f>'Aktuelle data'!AE21</f>
        <v>935.03724999999997</v>
      </c>
      <c r="G280" s="59"/>
      <c r="H280" s="133">
        <f>'Aktuelle data'!AF21</f>
        <v>2190.2312544000001</v>
      </c>
      <c r="I280" s="59"/>
      <c r="J280" s="134">
        <f>'Aktuelle data'!AG21</f>
        <v>13410.6782544</v>
      </c>
    </row>
    <row r="281" spans="2:10">
      <c r="C281" s="135">
        <v>8100</v>
      </c>
      <c r="D281" s="132">
        <f>'Aktuelle data'!AD22</f>
        <v>12983.660100000001</v>
      </c>
      <c r="E281" s="59"/>
      <c r="F281" s="133">
        <f>'Aktuelle data'!AE22</f>
        <v>1081.971675</v>
      </c>
      <c r="G281" s="59"/>
      <c r="H281" s="133">
        <f>'Aktuelle data'!AF22</f>
        <v>2534.4104515200002</v>
      </c>
      <c r="I281" s="59"/>
      <c r="J281" s="134">
        <f>'Aktuelle data'!AG22</f>
        <v>15518.070551520001</v>
      </c>
    </row>
    <row r="282" spans="2:10">
      <c r="C282" s="135">
        <v>9100</v>
      </c>
      <c r="D282" s="132">
        <f>'Aktuelle data'!AD23</f>
        <v>14586.581100000001</v>
      </c>
      <c r="E282" s="59"/>
      <c r="F282" s="133">
        <f>'Aktuelle data'!AE23</f>
        <v>1215.5484250000002</v>
      </c>
      <c r="G282" s="59"/>
      <c r="H282" s="133">
        <f>'Aktuelle data'!AF23</f>
        <v>2847.3006307199998</v>
      </c>
      <c r="I282" s="59"/>
      <c r="J282" s="134">
        <f>'Aktuelle data'!AG23</f>
        <v>17433.881730720001</v>
      </c>
    </row>
    <row r="283" spans="2:10">
      <c r="C283" s="135">
        <v>12000</v>
      </c>
      <c r="D283" s="132">
        <f>'Aktuelle data'!AD24</f>
        <v>19235.052</v>
      </c>
      <c r="E283" s="59"/>
      <c r="F283" s="133">
        <f>'Aktuelle data'!AE24</f>
        <v>1602.921</v>
      </c>
      <c r="G283" s="59"/>
      <c r="H283" s="133">
        <f>'Aktuelle data'!AF24</f>
        <v>3754.6821504</v>
      </c>
      <c r="I283" s="59"/>
      <c r="J283" s="134">
        <f>'Aktuelle data'!AG24</f>
        <v>22989.7341504</v>
      </c>
    </row>
    <row r="284" spans="2:10">
      <c r="C284" s="135">
        <v>20300</v>
      </c>
      <c r="D284" s="132">
        <f>'Aktuelle data'!AD25</f>
        <v>32539.296300000002</v>
      </c>
      <c r="E284" s="59"/>
      <c r="F284" s="133">
        <f>'Aktuelle data'!AE25</f>
        <v>2711.608025</v>
      </c>
      <c r="G284" s="59"/>
      <c r="H284" s="133">
        <f>'Aktuelle data'!AF25</f>
        <v>6351.6706377600003</v>
      </c>
      <c r="I284" s="59"/>
      <c r="J284" s="134">
        <f>'Aktuelle data'!AG25</f>
        <v>38890.96693776</v>
      </c>
    </row>
    <row r="285" spans="2:10">
      <c r="C285" s="135">
        <v>30600</v>
      </c>
      <c r="D285" s="132">
        <f>'Aktuelle data'!AD26</f>
        <v>49049.382600000004</v>
      </c>
      <c r="E285" s="59"/>
      <c r="F285" s="133">
        <f>'Aktuelle data'!AE26</f>
        <v>4087.4485500000005</v>
      </c>
      <c r="G285" s="59"/>
      <c r="H285" s="133">
        <f>'Aktuelle data'!AF26</f>
        <v>9574.4394835200001</v>
      </c>
      <c r="I285" s="59"/>
      <c r="J285" s="134">
        <f>'Aktuelle data'!AG26</f>
        <v>58623.822083520005</v>
      </c>
    </row>
    <row r="286" spans="2:10" ht="16" thickBot="1">
      <c r="B286" s="30" t="s">
        <v>232</v>
      </c>
      <c r="C286" s="89">
        <v>41000</v>
      </c>
      <c r="D286" s="132">
        <f>'Aktuelle data'!AD27</f>
        <v>65719.760999999999</v>
      </c>
      <c r="E286" s="35"/>
      <c r="F286" s="133">
        <f>'Aktuelle data'!AE27</f>
        <v>5476.6467499999999</v>
      </c>
      <c r="G286" s="35"/>
      <c r="H286" s="133">
        <f>'Aktuelle data'!AF27</f>
        <v>12828.497347199998</v>
      </c>
      <c r="I286" s="35"/>
      <c r="J286" s="134">
        <f>'Aktuelle data'!AG27</f>
        <v>78548.258347199997</v>
      </c>
    </row>
    <row r="287" spans="2:10">
      <c r="B287" s="72"/>
    </row>
    <row r="288" spans="2:10">
      <c r="B288" s="29" t="s">
        <v>230</v>
      </c>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20" spans="2:12" ht="21">
      <c r="B320" s="572" t="s">
        <v>291</v>
      </c>
      <c r="C320" s="572"/>
      <c r="D320" s="572"/>
      <c r="E320" s="572"/>
      <c r="F320" s="572"/>
      <c r="G320" s="572"/>
      <c r="H320" s="572"/>
      <c r="I320" s="572"/>
      <c r="J320" s="572"/>
      <c r="K320" s="572"/>
      <c r="L320" s="572"/>
    </row>
    <row r="321" spans="2:13" ht="16" thickBot="1"/>
    <row r="322" spans="2:13">
      <c r="B322" s="573" t="s">
        <v>234</v>
      </c>
      <c r="C322" s="574"/>
      <c r="D322" s="574"/>
      <c r="E322" s="574"/>
      <c r="F322" s="574"/>
      <c r="G322" s="574"/>
      <c r="H322" s="574"/>
      <c r="I322" s="574"/>
      <c r="J322" s="54"/>
    </row>
    <row r="323" spans="2:13">
      <c r="B323" s="575" t="s">
        <v>274</v>
      </c>
      <c r="C323" s="576"/>
      <c r="D323" s="576"/>
      <c r="E323" s="576"/>
      <c r="J323" s="26"/>
    </row>
    <row r="324" spans="2:13" ht="16" thickBot="1">
      <c r="B324" s="577" t="s">
        <v>275</v>
      </c>
      <c r="C324" s="578"/>
      <c r="D324" s="578"/>
      <c r="E324" s="578"/>
      <c r="F324" s="578"/>
      <c r="G324" s="578"/>
      <c r="H324" s="578"/>
      <c r="I324" s="578"/>
      <c r="J324" s="579"/>
    </row>
    <row r="325" spans="2:13" ht="16" thickBot="1"/>
    <row r="326" spans="2:13">
      <c r="B326" s="580" t="s">
        <v>261</v>
      </c>
      <c r="C326" s="581"/>
      <c r="D326" s="581"/>
      <c r="E326" s="581"/>
      <c r="F326" s="581"/>
      <c r="G326" s="581"/>
      <c r="H326" s="581"/>
      <c r="I326" s="581"/>
      <c r="J326" s="581"/>
      <c r="K326" s="581"/>
      <c r="L326" s="582"/>
    </row>
    <row r="327" spans="2:13">
      <c r="B327" s="583" t="s">
        <v>32</v>
      </c>
      <c r="C327" s="584"/>
      <c r="D327" s="59"/>
      <c r="E327" s="59"/>
      <c r="F327" s="59"/>
      <c r="G327" s="59"/>
      <c r="H327" s="59"/>
      <c r="I327" s="59"/>
      <c r="J327" s="59"/>
      <c r="K327" s="59"/>
      <c r="L327" s="114">
        <f>'Aktuelle data'!E29</f>
        <v>616041</v>
      </c>
    </row>
    <row r="328" spans="2:13">
      <c r="B328" s="158" t="s">
        <v>235</v>
      </c>
      <c r="C328" s="153"/>
      <c r="D328" s="153"/>
      <c r="E328" s="153"/>
      <c r="F328" s="159">
        <v>30000</v>
      </c>
      <c r="G328" s="59" t="s">
        <v>215</v>
      </c>
      <c r="H328" s="59">
        <f>'Aktuelle data'!C37</f>
        <v>1.602921</v>
      </c>
      <c r="I328" s="59"/>
      <c r="J328" s="59"/>
      <c r="K328" s="59" t="s">
        <v>223</v>
      </c>
      <c r="L328" s="114">
        <f>30000*'Aktuelle data'!C37</f>
        <v>48087.630000000005</v>
      </c>
    </row>
    <row r="329" spans="2:13">
      <c r="B329" s="160" t="s">
        <v>33</v>
      </c>
      <c r="C329" s="59"/>
      <c r="D329" s="59"/>
      <c r="E329" s="59"/>
      <c r="F329" s="59"/>
      <c r="G329" s="59"/>
      <c r="H329" s="59"/>
      <c r="I329" s="59"/>
      <c r="J329" s="59"/>
      <c r="K329" s="59"/>
      <c r="L329" s="115">
        <f>SUM(L327:L328)</f>
        <v>664128.63</v>
      </c>
    </row>
    <row r="330" spans="2:13" ht="16" thickBot="1">
      <c r="B330" s="585" t="s">
        <v>34</v>
      </c>
      <c r="C330" s="586"/>
      <c r="D330" s="35"/>
      <c r="E330" s="35"/>
      <c r="F330" s="35"/>
      <c r="G330" s="35"/>
      <c r="H330" s="35"/>
      <c r="I330" s="35"/>
      <c r="J330" s="35"/>
      <c r="K330" s="35"/>
      <c r="L330" s="107">
        <f>L329/12</f>
        <v>55344.052499999998</v>
      </c>
    </row>
    <row r="332" spans="2:13" ht="20">
      <c r="B332" s="571" t="s">
        <v>292</v>
      </c>
      <c r="C332" s="571"/>
      <c r="D332" s="571"/>
      <c r="E332" s="571"/>
      <c r="F332" s="571"/>
      <c r="G332" s="571"/>
      <c r="H332" s="571"/>
      <c r="I332" s="571"/>
      <c r="J332" s="571"/>
      <c r="K332" s="571"/>
      <c r="L332" s="571"/>
      <c r="M332" s="88"/>
    </row>
    <row r="333" spans="2:13" ht="20">
      <c r="B333" s="94"/>
      <c r="C333" s="94"/>
      <c r="D333" s="94"/>
      <c r="E333" s="94"/>
      <c r="F333" s="94"/>
      <c r="G333" s="94"/>
      <c r="H333" s="94"/>
      <c r="I333" s="94"/>
      <c r="J333" s="94"/>
      <c r="K333" s="94"/>
      <c r="L333" s="94"/>
      <c r="M333" s="88"/>
    </row>
    <row r="334" spans="2:13">
      <c r="B334" s="587" t="s">
        <v>239</v>
      </c>
      <c r="C334" s="587"/>
      <c r="D334" s="587"/>
      <c r="E334" s="587"/>
      <c r="F334" s="587"/>
      <c r="G334" s="587"/>
      <c r="H334" s="587"/>
      <c r="I334" s="587"/>
      <c r="J334" s="587"/>
      <c r="K334" s="587"/>
      <c r="L334" s="1">
        <f>'Aktuelle data'!C39</f>
        <v>19.52</v>
      </c>
    </row>
    <row r="335" spans="2:13" ht="30.25" customHeight="1">
      <c r="B335" s="457" t="s">
        <v>240</v>
      </c>
      <c r="C335" s="502"/>
      <c r="D335" s="502"/>
      <c r="E335" s="502"/>
      <c r="F335" s="502"/>
      <c r="G335" s="502"/>
      <c r="H335" s="502"/>
      <c r="I335" s="502"/>
      <c r="J335" s="502"/>
      <c r="K335" s="502"/>
      <c r="L335" s="502"/>
      <c r="M335" s="502"/>
    </row>
    <row r="337" spans="2:12" ht="31" customHeight="1">
      <c r="B337" s="501" t="s">
        <v>293</v>
      </c>
      <c r="C337" s="501"/>
      <c r="D337" s="501"/>
      <c r="E337" s="501"/>
      <c r="F337" s="501"/>
      <c r="G337" s="501"/>
      <c r="H337" s="501"/>
      <c r="I337" s="501"/>
      <c r="J337" s="501"/>
      <c r="K337" s="501"/>
      <c r="L337" s="501"/>
    </row>
    <row r="338" spans="2:12" ht="16" thickBot="1">
      <c r="B338" s="99"/>
    </row>
    <row r="339" spans="2:12" ht="61">
      <c r="B339" s="256" t="s">
        <v>242</v>
      </c>
      <c r="C339" s="503">
        <f>'Aktuelle data'!S29</f>
        <v>630571</v>
      </c>
      <c r="D339" s="503"/>
      <c r="E339" s="108" t="s">
        <v>215</v>
      </c>
      <c r="F339" s="109">
        <f>'Aktuelle data'!C39</f>
        <v>19.52</v>
      </c>
      <c r="G339" s="110" t="s">
        <v>225</v>
      </c>
      <c r="H339" s="108">
        <v>100</v>
      </c>
      <c r="I339" s="108"/>
      <c r="J339" s="108"/>
      <c r="K339" s="110" t="s">
        <v>223</v>
      </c>
      <c r="L339" s="111">
        <f>'Aktuelle data'!S29*'Aktuelle data'!C39/100</f>
        <v>123087.4592</v>
      </c>
    </row>
    <row r="340" spans="2:12" ht="64">
      <c r="B340" s="257" t="s">
        <v>241</v>
      </c>
      <c r="C340" s="504">
        <v>30000</v>
      </c>
      <c r="D340" s="504"/>
      <c r="E340" s="59" t="s">
        <v>215</v>
      </c>
      <c r="F340" s="59">
        <f>'Aktuelle data'!C37</f>
        <v>1.602921</v>
      </c>
      <c r="G340" s="59" t="s">
        <v>215</v>
      </c>
      <c r="H340" s="112">
        <f>'Aktuelle data'!C39</f>
        <v>19.52</v>
      </c>
      <c r="I340" s="59" t="s">
        <v>225</v>
      </c>
      <c r="J340" s="113">
        <v>100</v>
      </c>
      <c r="K340" s="59" t="s">
        <v>223</v>
      </c>
      <c r="L340" s="114">
        <f>30000*'Aktuelle data'!C37*'Aktuelle data'!C39/100</f>
        <v>9386.7053759999999</v>
      </c>
    </row>
    <row r="341" spans="2:12" ht="48">
      <c r="B341" s="258" t="s">
        <v>243</v>
      </c>
      <c r="C341" s="59"/>
      <c r="D341" s="59"/>
      <c r="E341" s="59"/>
      <c r="F341" s="59"/>
      <c r="G341" s="59"/>
      <c r="H341" s="59"/>
      <c r="I341" s="59"/>
      <c r="J341" s="59"/>
      <c r="K341" s="59"/>
      <c r="L341" s="115">
        <f>SUM(L339:L340)</f>
        <v>132474.16457600001</v>
      </c>
    </row>
    <row r="342" spans="2:12" ht="49" thickBot="1">
      <c r="B342" s="259" t="s">
        <v>244</v>
      </c>
      <c r="C342" s="35"/>
      <c r="D342" s="35"/>
      <c r="E342" s="35"/>
      <c r="F342" s="35"/>
      <c r="G342" s="35"/>
      <c r="H342" s="35"/>
      <c r="I342" s="35"/>
      <c r="J342" s="35"/>
      <c r="K342" s="35"/>
      <c r="L342" s="107">
        <f>L341/12</f>
        <v>11039.513714666668</v>
      </c>
    </row>
    <row r="343" spans="2:12">
      <c r="B343" s="100"/>
      <c r="C343" s="101"/>
      <c r="D343" s="102"/>
    </row>
    <row r="344" spans="2:12">
      <c r="B344" s="100"/>
      <c r="C344" s="103"/>
      <c r="D344" s="104"/>
    </row>
    <row r="345" spans="2:12">
      <c r="B345" s="105"/>
      <c r="C345" s="101"/>
      <c r="D345" s="106"/>
    </row>
    <row r="346" spans="2:12">
      <c r="B346" s="105"/>
      <c r="C346" s="101"/>
      <c r="D346" s="106"/>
    </row>
    <row r="357" spans="1:1">
      <c r="A357" t="s">
        <v>331</v>
      </c>
    </row>
    <row r="374" spans="1:12" ht="21">
      <c r="B374" s="458" t="s">
        <v>257</v>
      </c>
      <c r="C374" s="458"/>
      <c r="D374" s="458"/>
      <c r="E374" s="458"/>
      <c r="F374" s="458"/>
      <c r="G374" s="458"/>
      <c r="H374" s="458"/>
      <c r="I374" s="458"/>
      <c r="J374" s="458"/>
      <c r="K374" s="458"/>
      <c r="L374" s="458"/>
    </row>
    <row r="375" spans="1:12" ht="16" thickBot="1"/>
    <row r="376" spans="1:12" ht="16">
      <c r="B376" s="260" t="s">
        <v>258</v>
      </c>
      <c r="C376" s="203">
        <f>'Aktuelle data'!C41</f>
        <v>3.81</v>
      </c>
      <c r="D376" s="196" t="s">
        <v>277</v>
      </c>
    </row>
    <row r="377" spans="1:12" ht="17" thickBot="1">
      <c r="B377" s="261" t="s">
        <v>259</v>
      </c>
      <c r="C377" s="204">
        <f>'Aktuelle data'!C40</f>
        <v>2.23</v>
      </c>
      <c r="D377" s="197" t="s">
        <v>277</v>
      </c>
    </row>
    <row r="379" spans="1:12" ht="21">
      <c r="A379" s="2"/>
      <c r="B379" s="263" t="s">
        <v>262</v>
      </c>
      <c r="C379" s="263"/>
    </row>
    <row r="380" spans="1:12" ht="16" thickBot="1"/>
    <row r="381" spans="1:12" s="2" customFormat="1" ht="33.25" customHeight="1">
      <c r="A381"/>
      <c r="B381" s="588" t="s">
        <v>17</v>
      </c>
      <c r="C381" s="589"/>
      <c r="D381" s="589" t="s">
        <v>265</v>
      </c>
      <c r="E381" s="589"/>
      <c r="F381" s="589"/>
      <c r="G381" s="461" t="s">
        <v>267</v>
      </c>
      <c r="H381" s="462"/>
      <c r="I381" s="460"/>
      <c r="J381" s="589" t="s">
        <v>266</v>
      </c>
      <c r="K381" s="589"/>
      <c r="L381" s="262" t="s">
        <v>21</v>
      </c>
    </row>
    <row r="382" spans="1:12">
      <c r="B382" s="590" t="s">
        <v>23</v>
      </c>
      <c r="C382" s="591"/>
      <c r="D382" s="591" t="s">
        <v>24</v>
      </c>
      <c r="E382" s="591"/>
      <c r="F382" s="591"/>
      <c r="G382" s="448">
        <f>'Aktuelle data'!AL5</f>
        <v>99</v>
      </c>
      <c r="H382" s="449"/>
      <c r="I382" s="450"/>
      <c r="J382" s="593">
        <f>'Aktuelle data'!AM5</f>
        <v>198</v>
      </c>
      <c r="K382" s="593"/>
      <c r="L382" s="126">
        <f>'Aktuelle data'!AN5</f>
        <v>297</v>
      </c>
    </row>
    <row r="383" spans="1:12">
      <c r="B383" s="127" t="s">
        <v>26</v>
      </c>
      <c r="C383" s="66"/>
      <c r="D383" s="591" t="s">
        <v>27</v>
      </c>
      <c r="E383" s="591"/>
      <c r="F383" s="591"/>
      <c r="G383" s="448">
        <f>'Aktuelle data'!AL6</f>
        <v>66</v>
      </c>
      <c r="H383" s="449"/>
      <c r="I383" s="450"/>
      <c r="J383" s="593">
        <f>'Aktuelle data'!AM6</f>
        <v>132</v>
      </c>
      <c r="K383" s="593"/>
      <c r="L383" s="126">
        <f>'Aktuelle data'!AN6</f>
        <v>198</v>
      </c>
    </row>
    <row r="384" spans="1:12">
      <c r="B384" s="590" t="s">
        <v>28</v>
      </c>
      <c r="C384" s="591"/>
      <c r="D384" s="591" t="s">
        <v>29</v>
      </c>
      <c r="E384" s="591"/>
      <c r="F384" s="591"/>
      <c r="G384" s="448">
        <f>'Aktuelle data'!AL7</f>
        <v>33</v>
      </c>
      <c r="H384" s="449"/>
      <c r="I384" s="450"/>
      <c r="J384" s="593">
        <f>'Aktuelle data'!AM7</f>
        <v>66</v>
      </c>
      <c r="K384" s="593"/>
      <c r="L384" s="126">
        <f>'Aktuelle data'!AN7</f>
        <v>99</v>
      </c>
    </row>
    <row r="385" spans="2:12" ht="16" thickBot="1">
      <c r="B385" s="128" t="s">
        <v>30</v>
      </c>
      <c r="C385" s="125"/>
      <c r="D385" s="592" t="s">
        <v>31</v>
      </c>
      <c r="E385" s="592"/>
      <c r="F385" s="592"/>
      <c r="G385" s="454">
        <f>'Aktuelle data'!AL8</f>
        <v>0</v>
      </c>
      <c r="H385" s="455"/>
      <c r="I385" s="456"/>
      <c r="J385" s="594">
        <f>'Aktuelle data'!AM8</f>
        <v>0</v>
      </c>
      <c r="K385" s="594"/>
      <c r="L385" s="129">
        <f>'Aktuelle data'!AN8</f>
        <v>0</v>
      </c>
    </row>
  </sheetData>
  <mergeCells count="465">
    <mergeCell ref="D160:E160"/>
    <mergeCell ref="F160:G160"/>
    <mergeCell ref="H160:I160"/>
    <mergeCell ref="C2:L2"/>
    <mergeCell ref="C65:L65"/>
    <mergeCell ref="C130:L130"/>
    <mergeCell ref="C129:L129"/>
    <mergeCell ref="D157:E157"/>
    <mergeCell ref="F157:G157"/>
    <mergeCell ref="H157:I157"/>
    <mergeCell ref="D158:E158"/>
    <mergeCell ref="F158:G158"/>
    <mergeCell ref="H158:I158"/>
    <mergeCell ref="D159:E159"/>
    <mergeCell ref="F159:G159"/>
    <mergeCell ref="H159:I159"/>
    <mergeCell ref="D154:E154"/>
    <mergeCell ref="F154:G154"/>
    <mergeCell ref="H154:I154"/>
    <mergeCell ref="D155:E155"/>
    <mergeCell ref="F155:G155"/>
    <mergeCell ref="H155:I155"/>
    <mergeCell ref="D156:E156"/>
    <mergeCell ref="F156:G156"/>
    <mergeCell ref="H156:I156"/>
    <mergeCell ref="D151:E151"/>
    <mergeCell ref="F151:G151"/>
    <mergeCell ref="H151:I151"/>
    <mergeCell ref="D152:E152"/>
    <mergeCell ref="F152:G152"/>
    <mergeCell ref="H152:I152"/>
    <mergeCell ref="D153:E153"/>
    <mergeCell ref="F153:G153"/>
    <mergeCell ref="H153:I153"/>
    <mergeCell ref="D148:E148"/>
    <mergeCell ref="F148:G148"/>
    <mergeCell ref="H148:I148"/>
    <mergeCell ref="D149:E149"/>
    <mergeCell ref="F149:G149"/>
    <mergeCell ref="H149:I149"/>
    <mergeCell ref="D150:E150"/>
    <mergeCell ref="F150:G150"/>
    <mergeCell ref="H150:I150"/>
    <mergeCell ref="D145:E145"/>
    <mergeCell ref="F145:G145"/>
    <mergeCell ref="H145:I145"/>
    <mergeCell ref="D146:E146"/>
    <mergeCell ref="F146:G146"/>
    <mergeCell ref="H146:I146"/>
    <mergeCell ref="D147:E147"/>
    <mergeCell ref="F147:G147"/>
    <mergeCell ref="H147:I147"/>
    <mergeCell ref="D142:E142"/>
    <mergeCell ref="F142:G142"/>
    <mergeCell ref="H142:I142"/>
    <mergeCell ref="D143:E143"/>
    <mergeCell ref="F143:G143"/>
    <mergeCell ref="H143:I143"/>
    <mergeCell ref="D144:E144"/>
    <mergeCell ref="F144:G144"/>
    <mergeCell ref="H144:I144"/>
    <mergeCell ref="D139:E139"/>
    <mergeCell ref="F139:G139"/>
    <mergeCell ref="H139:I139"/>
    <mergeCell ref="D140:E140"/>
    <mergeCell ref="F140:G140"/>
    <mergeCell ref="H140:I140"/>
    <mergeCell ref="D141:E141"/>
    <mergeCell ref="F141:G141"/>
    <mergeCell ref="H141:I141"/>
    <mergeCell ref="D136:E136"/>
    <mergeCell ref="F136:G136"/>
    <mergeCell ref="H136:I136"/>
    <mergeCell ref="D137:E137"/>
    <mergeCell ref="F137:G137"/>
    <mergeCell ref="H137:I137"/>
    <mergeCell ref="D138:E138"/>
    <mergeCell ref="F138:G138"/>
    <mergeCell ref="H138:I138"/>
    <mergeCell ref="D133:E133"/>
    <mergeCell ref="F133:G133"/>
    <mergeCell ref="H133:I133"/>
    <mergeCell ref="D134:E134"/>
    <mergeCell ref="F134:G134"/>
    <mergeCell ref="H134:I134"/>
    <mergeCell ref="D135:E135"/>
    <mergeCell ref="F135:G135"/>
    <mergeCell ref="H135:I135"/>
    <mergeCell ref="F89:G89"/>
    <mergeCell ref="D76:E76"/>
    <mergeCell ref="D77:E77"/>
    <mergeCell ref="F68:G68"/>
    <mergeCell ref="F69:G69"/>
    <mergeCell ref="F70:G70"/>
    <mergeCell ref="D78:E78"/>
    <mergeCell ref="D79:E79"/>
    <mergeCell ref="D80:E80"/>
    <mergeCell ref="F79:G79"/>
    <mergeCell ref="F80:G80"/>
    <mergeCell ref="D81:E81"/>
    <mergeCell ref="D82:E82"/>
    <mergeCell ref="F81:G81"/>
    <mergeCell ref="F82:G82"/>
    <mergeCell ref="F76:G76"/>
    <mergeCell ref="D89:E89"/>
    <mergeCell ref="F83:G83"/>
    <mergeCell ref="F84:G84"/>
    <mergeCell ref="H75:I75"/>
    <mergeCell ref="H76:I76"/>
    <mergeCell ref="H77:I77"/>
    <mergeCell ref="H78:I78"/>
    <mergeCell ref="D85:E85"/>
    <mergeCell ref="D86:E86"/>
    <mergeCell ref="D87:E87"/>
    <mergeCell ref="D88:E88"/>
    <mergeCell ref="F85:G85"/>
    <mergeCell ref="F86:G86"/>
    <mergeCell ref="F87:G87"/>
    <mergeCell ref="F88:G88"/>
    <mergeCell ref="H85:I85"/>
    <mergeCell ref="H86:I86"/>
    <mergeCell ref="H87:I87"/>
    <mergeCell ref="H83:I83"/>
    <mergeCell ref="H84:I84"/>
    <mergeCell ref="F77:G77"/>
    <mergeCell ref="F78:G78"/>
    <mergeCell ref="H80:I80"/>
    <mergeCell ref="H81:I81"/>
    <mergeCell ref="H82:I82"/>
    <mergeCell ref="H79:I79"/>
    <mergeCell ref="D75:E75"/>
    <mergeCell ref="H29:I29"/>
    <mergeCell ref="H30:I30"/>
    <mergeCell ref="H31:I31"/>
    <mergeCell ref="H32:I32"/>
    <mergeCell ref="H68:I68"/>
    <mergeCell ref="H69:I69"/>
    <mergeCell ref="H70:I70"/>
    <mergeCell ref="H71:I71"/>
    <mergeCell ref="B35:J35"/>
    <mergeCell ref="B36:J36"/>
    <mergeCell ref="B37:J37"/>
    <mergeCell ref="F71:G71"/>
    <mergeCell ref="F29:G29"/>
    <mergeCell ref="F30:G30"/>
    <mergeCell ref="F31:G31"/>
    <mergeCell ref="D71:E71"/>
    <mergeCell ref="F72:G72"/>
    <mergeCell ref="F73:G73"/>
    <mergeCell ref="F74:G74"/>
    <mergeCell ref="F75:G75"/>
    <mergeCell ref="D83:E83"/>
    <mergeCell ref="D84:E84"/>
    <mergeCell ref="D68:E68"/>
    <mergeCell ref="D69:E69"/>
    <mergeCell ref="D70:E70"/>
    <mergeCell ref="D72:E72"/>
    <mergeCell ref="D73:E73"/>
    <mergeCell ref="D74:E74"/>
    <mergeCell ref="H72:I72"/>
    <mergeCell ref="H73:I73"/>
    <mergeCell ref="H74:I74"/>
    <mergeCell ref="F32:G3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F23:G23"/>
    <mergeCell ref="F24:G24"/>
    <mergeCell ref="F25:G25"/>
    <mergeCell ref="F26:G26"/>
    <mergeCell ref="F27:G27"/>
    <mergeCell ref="F28:G28"/>
    <mergeCell ref="H28:I28"/>
    <mergeCell ref="F13:G13"/>
    <mergeCell ref="F14:G14"/>
    <mergeCell ref="F15:G15"/>
    <mergeCell ref="F16:G16"/>
    <mergeCell ref="F17:G17"/>
    <mergeCell ref="F18:G18"/>
    <mergeCell ref="F19:G19"/>
    <mergeCell ref="F20:G20"/>
    <mergeCell ref="F21:G21"/>
    <mergeCell ref="D5:E5"/>
    <mergeCell ref="D6:E6"/>
    <mergeCell ref="D7:E7"/>
    <mergeCell ref="D8:E8"/>
    <mergeCell ref="D9:E9"/>
    <mergeCell ref="D10:E10"/>
    <mergeCell ref="D11:E11"/>
    <mergeCell ref="D12:E12"/>
    <mergeCell ref="F5:G5"/>
    <mergeCell ref="F6:G6"/>
    <mergeCell ref="F7:G7"/>
    <mergeCell ref="F8:G8"/>
    <mergeCell ref="F9:G9"/>
    <mergeCell ref="F10:G10"/>
    <mergeCell ref="F11:G11"/>
    <mergeCell ref="F12:G12"/>
    <mergeCell ref="D13:E13"/>
    <mergeCell ref="D14:E14"/>
    <mergeCell ref="D15:E15"/>
    <mergeCell ref="D16:E16"/>
    <mergeCell ref="D17:E17"/>
    <mergeCell ref="D18:E18"/>
    <mergeCell ref="D19:E19"/>
    <mergeCell ref="D20:E20"/>
    <mergeCell ref="D21:E21"/>
    <mergeCell ref="D22:E22"/>
    <mergeCell ref="D23:E23"/>
    <mergeCell ref="J30:K30"/>
    <mergeCell ref="J31:K31"/>
    <mergeCell ref="J32:K32"/>
    <mergeCell ref="J21:K21"/>
    <mergeCell ref="J22:K22"/>
    <mergeCell ref="J23:K23"/>
    <mergeCell ref="J24:K24"/>
    <mergeCell ref="J25:K25"/>
    <mergeCell ref="J26:K26"/>
    <mergeCell ref="J27:K27"/>
    <mergeCell ref="J28:K28"/>
    <mergeCell ref="J29:K29"/>
    <mergeCell ref="D24:E24"/>
    <mergeCell ref="D25:E25"/>
    <mergeCell ref="D26:E26"/>
    <mergeCell ref="D27:E27"/>
    <mergeCell ref="D28:E28"/>
    <mergeCell ref="D29:E29"/>
    <mergeCell ref="D30:E30"/>
    <mergeCell ref="D31:E31"/>
    <mergeCell ref="D32:E32"/>
    <mergeCell ref="F22:G22"/>
    <mergeCell ref="J159:K159"/>
    <mergeCell ref="J160:K16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150:K150"/>
    <mergeCell ref="J151:K151"/>
    <mergeCell ref="J152:K152"/>
    <mergeCell ref="J153:K153"/>
    <mergeCell ref="J155:K155"/>
    <mergeCell ref="J156:K156"/>
    <mergeCell ref="J157:K157"/>
    <mergeCell ref="J158:K158"/>
    <mergeCell ref="J141:K141"/>
    <mergeCell ref="J142:K142"/>
    <mergeCell ref="J143:K143"/>
    <mergeCell ref="J144:K144"/>
    <mergeCell ref="J145:K145"/>
    <mergeCell ref="J146:K146"/>
    <mergeCell ref="J147:K147"/>
    <mergeCell ref="J148:K148"/>
    <mergeCell ref="J149:K149"/>
    <mergeCell ref="J133:K133"/>
    <mergeCell ref="J134:K134"/>
    <mergeCell ref="J135:K135"/>
    <mergeCell ref="J136:K136"/>
    <mergeCell ref="J137:K137"/>
    <mergeCell ref="J138:K138"/>
    <mergeCell ref="J139:K139"/>
    <mergeCell ref="J140:K140"/>
    <mergeCell ref="J154:K154"/>
    <mergeCell ref="H93:I93"/>
    <mergeCell ref="H94:I94"/>
    <mergeCell ref="H95:I95"/>
    <mergeCell ref="D90:E90"/>
    <mergeCell ref="D91:E91"/>
    <mergeCell ref="D92:E92"/>
    <mergeCell ref="D93:E93"/>
    <mergeCell ref="D94:E94"/>
    <mergeCell ref="D95:E95"/>
    <mergeCell ref="F94:G94"/>
    <mergeCell ref="F95:G95"/>
    <mergeCell ref="F90:G90"/>
    <mergeCell ref="F91:G91"/>
    <mergeCell ref="F92:G92"/>
    <mergeCell ref="F93:G93"/>
    <mergeCell ref="E265:F265"/>
    <mergeCell ref="G265:H265"/>
    <mergeCell ref="I265:J265"/>
    <mergeCell ref="B326:L326"/>
    <mergeCell ref="B320:L32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B374:L374"/>
    <mergeCell ref="D382:F382"/>
    <mergeCell ref="E226:G226"/>
    <mergeCell ref="E227:G227"/>
    <mergeCell ref="E228:G228"/>
    <mergeCell ref="E229:G229"/>
    <mergeCell ref="E230:G230"/>
    <mergeCell ref="K227:L227"/>
    <mergeCell ref="K228:L228"/>
    <mergeCell ref="K229:L229"/>
    <mergeCell ref="C339:D339"/>
    <mergeCell ref="C340:D340"/>
    <mergeCell ref="B335:M335"/>
    <mergeCell ref="B334:K334"/>
    <mergeCell ref="B337:L337"/>
    <mergeCell ref="B330:C330"/>
    <mergeCell ref="B332:L332"/>
    <mergeCell ref="B323:E323"/>
    <mergeCell ref="B324:J324"/>
    <mergeCell ref="B327:C327"/>
    <mergeCell ref="B322:I322"/>
    <mergeCell ref="C264:I264"/>
    <mergeCell ref="B260:K260"/>
    <mergeCell ref="B262:L262"/>
    <mergeCell ref="E199:G199"/>
    <mergeCell ref="K212:L212"/>
    <mergeCell ref="E200:G200"/>
    <mergeCell ref="E201:G201"/>
    <mergeCell ref="E203:G203"/>
    <mergeCell ref="E204:G204"/>
    <mergeCell ref="E206:G206"/>
    <mergeCell ref="E212:G212"/>
    <mergeCell ref="E202:G202"/>
    <mergeCell ref="K202:L202"/>
    <mergeCell ref="K203:L203"/>
    <mergeCell ref="K204:L204"/>
    <mergeCell ref="K205:L205"/>
    <mergeCell ref="B99:J99"/>
    <mergeCell ref="B100:J100"/>
    <mergeCell ref="B191:L191"/>
    <mergeCell ref="B193:C193"/>
    <mergeCell ref="J67:K67"/>
    <mergeCell ref="J68:K68"/>
    <mergeCell ref="J69:K69"/>
    <mergeCell ref="J70:K70"/>
    <mergeCell ref="J90:K90"/>
    <mergeCell ref="J91:K91"/>
    <mergeCell ref="J92:K92"/>
    <mergeCell ref="J93:K93"/>
    <mergeCell ref="J94:K94"/>
    <mergeCell ref="J95:K95"/>
    <mergeCell ref="J132:K132"/>
    <mergeCell ref="B98:J98"/>
    <mergeCell ref="H88:I88"/>
    <mergeCell ref="H89:I89"/>
    <mergeCell ref="H90:I90"/>
    <mergeCell ref="H91:I91"/>
    <mergeCell ref="H92:I92"/>
    <mergeCell ref="B163:J163"/>
    <mergeCell ref="B165:J165"/>
    <mergeCell ref="B164:J164"/>
    <mergeCell ref="E196:G196"/>
    <mergeCell ref="E197:G197"/>
    <mergeCell ref="E198:G198"/>
    <mergeCell ref="E193:H193"/>
    <mergeCell ref="E194:G194"/>
    <mergeCell ref="E195:G195"/>
    <mergeCell ref="D385:F385"/>
    <mergeCell ref="J381:K381"/>
    <mergeCell ref="J382:K382"/>
    <mergeCell ref="J383:K383"/>
    <mergeCell ref="J384:K384"/>
    <mergeCell ref="J385:K385"/>
    <mergeCell ref="G381:I381"/>
    <mergeCell ref="G382:I382"/>
    <mergeCell ref="G383:I383"/>
    <mergeCell ref="G384:I384"/>
    <mergeCell ref="G385:I385"/>
    <mergeCell ref="D383:F383"/>
    <mergeCell ref="D384:F384"/>
    <mergeCell ref="K213:L213"/>
    <mergeCell ref="K214:L214"/>
    <mergeCell ref="K224:L224"/>
    <mergeCell ref="K225:L225"/>
    <mergeCell ref="K226:L226"/>
    <mergeCell ref="B381:C381"/>
    <mergeCell ref="B382:C382"/>
    <mergeCell ref="B384:C384"/>
    <mergeCell ref="D381:F381"/>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E217:G217"/>
    <mergeCell ref="E218:G218"/>
    <mergeCell ref="E219:G219"/>
    <mergeCell ref="E220:G220"/>
    <mergeCell ref="E221:G221"/>
    <mergeCell ref="E222:G222"/>
    <mergeCell ref="E223:G223"/>
    <mergeCell ref="E224:G224"/>
    <mergeCell ref="K206:L206"/>
    <mergeCell ref="K215:L215"/>
    <mergeCell ref="E214:H214"/>
    <mergeCell ref="K207:L207"/>
    <mergeCell ref="K208:L208"/>
    <mergeCell ref="K209:L209"/>
    <mergeCell ref="K210:L210"/>
    <mergeCell ref="K211:L211"/>
    <mergeCell ref="E207:G207"/>
    <mergeCell ref="E208:G208"/>
    <mergeCell ref="E209:G209"/>
    <mergeCell ref="E210:G210"/>
    <mergeCell ref="E211:G211"/>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kulturskoleledere&amp;C&amp;G&amp;R&amp;"Calibri (Tekst),Fed"&amp;16&amp;K003FC2 1. oktober 2025
</oddHeader>
    <oddFooter>&amp;L&amp;K003FC2Meld dig ind i MM på
www.musikerogmusikunderviser.dk &amp;R&amp;K003FC2MM tager forbehold for evt. fejl
 i denne løntabel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11" zoomScale="141" zoomScaleNormal="141" workbookViewId="0">
      <selection activeCell="I46" sqref="I46"/>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4.6640625" bestFit="1" customWidth="1"/>
    <col min="9" max="13" width="10.5"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602" t="s">
        <v>302</v>
      </c>
      <c r="B2" s="602"/>
      <c r="C2" s="602"/>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604" t="s">
        <v>3</v>
      </c>
      <c r="C4" s="604"/>
      <c r="D4" s="604"/>
      <c r="E4" s="604"/>
      <c r="F4" s="604"/>
      <c r="G4" s="168"/>
      <c r="H4" s="167" t="s">
        <v>2</v>
      </c>
      <c r="I4" s="597" t="s">
        <v>4</v>
      </c>
      <c r="J4" s="598"/>
      <c r="K4" s="598"/>
      <c r="L4" s="598"/>
      <c r="M4" s="603"/>
      <c r="N4" s="169"/>
      <c r="O4" s="167" t="s">
        <v>2</v>
      </c>
      <c r="P4" s="597" t="s">
        <v>5</v>
      </c>
      <c r="Q4" s="598"/>
      <c r="R4" s="598"/>
      <c r="S4" s="598"/>
      <c r="T4" s="599"/>
      <c r="V4" t="s">
        <v>214</v>
      </c>
      <c r="AC4" s="595" t="s">
        <v>233</v>
      </c>
      <c r="AD4" s="595"/>
      <c r="AE4" s="595"/>
      <c r="AJ4" s="225" t="s">
        <v>17</v>
      </c>
      <c r="AK4" s="226" t="s">
        <v>18</v>
      </c>
      <c r="AL4" s="226" t="s">
        <v>19</v>
      </c>
      <c r="AM4" s="226" t="s">
        <v>20</v>
      </c>
      <c r="AN4" s="227" t="s">
        <v>264</v>
      </c>
    </row>
    <row r="5" spans="1:44" ht="16">
      <c r="A5" s="170" t="s">
        <v>6</v>
      </c>
      <c r="B5" s="604" t="s">
        <v>7</v>
      </c>
      <c r="C5" s="604"/>
      <c r="D5" s="604"/>
      <c r="E5" s="604"/>
      <c r="F5" s="604"/>
      <c r="G5" s="168"/>
      <c r="H5" s="170" t="s">
        <v>6</v>
      </c>
      <c r="I5" s="597" t="s">
        <v>7</v>
      </c>
      <c r="J5" s="598"/>
      <c r="K5" s="598"/>
      <c r="L5" s="598"/>
      <c r="M5" s="603"/>
      <c r="N5" s="169"/>
      <c r="O5" s="170" t="s">
        <v>6</v>
      </c>
      <c r="P5" s="597" t="s">
        <v>7</v>
      </c>
      <c r="Q5" s="598"/>
      <c r="R5" s="598"/>
      <c r="S5" s="598"/>
      <c r="T5" s="599"/>
      <c r="AJ5" s="228" t="s">
        <v>23</v>
      </c>
      <c r="AK5" s="221" t="s">
        <v>24</v>
      </c>
      <c r="AL5" s="222">
        <v>99</v>
      </c>
      <c r="AM5" s="222">
        <v>198</v>
      </c>
      <c r="AN5" s="229">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213</v>
      </c>
      <c r="W6" s="73" t="s">
        <v>209</v>
      </c>
      <c r="X6" s="73" t="s">
        <v>210</v>
      </c>
      <c r="Y6" s="73" t="s">
        <v>211</v>
      </c>
      <c r="Z6" s="73" t="s">
        <v>212</v>
      </c>
      <c r="AC6" s="73" t="s">
        <v>229</v>
      </c>
      <c r="AD6" s="73" t="s">
        <v>209</v>
      </c>
      <c r="AE6" s="73" t="s">
        <v>210</v>
      </c>
      <c r="AF6" s="73" t="s">
        <v>211</v>
      </c>
      <c r="AG6" s="192" t="s">
        <v>212</v>
      </c>
      <c r="AJ6" s="228" t="s">
        <v>282</v>
      </c>
      <c r="AK6" s="221" t="s">
        <v>27</v>
      </c>
      <c r="AL6" s="222">
        <v>66</v>
      </c>
      <c r="AM6" s="222">
        <v>132</v>
      </c>
      <c r="AN6" s="229">
        <f t="shared" ref="AN6:AN8" si="0">AL6+AM6</f>
        <v>198</v>
      </c>
    </row>
    <row r="7" spans="1:44" ht="16">
      <c r="A7" s="176">
        <v>28</v>
      </c>
      <c r="B7" s="205"/>
      <c r="C7" s="206"/>
      <c r="D7" s="206"/>
      <c r="E7" s="206"/>
      <c r="F7" s="207"/>
      <c r="G7" s="178"/>
      <c r="H7" s="179">
        <v>28</v>
      </c>
      <c r="I7" s="211"/>
      <c r="J7" s="212"/>
      <c r="K7" s="212"/>
      <c r="L7" s="212"/>
      <c r="M7" s="212"/>
      <c r="N7" s="181"/>
      <c r="O7" s="179">
        <v>28</v>
      </c>
      <c r="P7" s="215"/>
      <c r="Q7" s="216"/>
      <c r="R7" s="216"/>
      <c r="S7" s="216"/>
      <c r="T7" s="217"/>
      <c r="U7" s="182">
        <f>C37</f>
        <v>1.602921</v>
      </c>
      <c r="V7" s="136">
        <v>1000</v>
      </c>
      <c r="W7" s="193">
        <f>V7*U7</f>
        <v>1602.921</v>
      </c>
      <c r="X7" s="193">
        <f>W7/12</f>
        <v>133.57675</v>
      </c>
      <c r="Y7" s="193">
        <f>W7*AA7/100</f>
        <v>268.48926750000004</v>
      </c>
      <c r="Z7" s="193">
        <f>W7+Y7</f>
        <v>1871.4102675000001</v>
      </c>
      <c r="AA7" s="1">
        <f>C38</f>
        <v>16.75</v>
      </c>
      <c r="AB7" s="180">
        <f>C39</f>
        <v>19.52</v>
      </c>
      <c r="AC7" s="136">
        <v>1000</v>
      </c>
      <c r="AD7" s="193">
        <f>AC7*U7</f>
        <v>1602.921</v>
      </c>
      <c r="AE7" s="193">
        <f>AD7/12</f>
        <v>133.57675</v>
      </c>
      <c r="AF7" s="193">
        <f>AD7*AB7/100</f>
        <v>312.89017920000003</v>
      </c>
      <c r="AG7" s="193">
        <f>AD7+AF7</f>
        <v>1915.8111792</v>
      </c>
      <c r="AH7" s="177"/>
      <c r="AI7" s="177"/>
      <c r="AJ7" s="230" t="s">
        <v>281</v>
      </c>
      <c r="AK7" s="223" t="s">
        <v>283</v>
      </c>
      <c r="AL7" s="224">
        <v>33</v>
      </c>
      <c r="AM7" s="224">
        <v>66</v>
      </c>
      <c r="AN7" s="229">
        <f t="shared" si="0"/>
        <v>99</v>
      </c>
      <c r="AO7" s="177"/>
      <c r="AP7" s="177"/>
      <c r="AQ7" s="177"/>
      <c r="AR7" s="177"/>
    </row>
    <row r="8" spans="1:44" ht="18" thickBot="1">
      <c r="A8" s="176">
        <v>29</v>
      </c>
      <c r="B8" s="205">
        <v>370581</v>
      </c>
      <c r="C8" s="206">
        <v>374846</v>
      </c>
      <c r="D8" s="206">
        <v>377797</v>
      </c>
      <c r="E8" s="206">
        <v>382061</v>
      </c>
      <c r="F8" s="207">
        <v>385014</v>
      </c>
      <c r="G8" s="178"/>
      <c r="H8" s="179">
        <v>29</v>
      </c>
      <c r="I8" s="211">
        <v>30881.75</v>
      </c>
      <c r="J8" s="212">
        <v>31237.166666666668</v>
      </c>
      <c r="K8" s="212">
        <v>31483.083333333332</v>
      </c>
      <c r="L8" s="212">
        <v>31838.416666666668</v>
      </c>
      <c r="M8" s="212">
        <v>32084.5</v>
      </c>
      <c r="N8" s="181"/>
      <c r="O8" s="179">
        <v>29</v>
      </c>
      <c r="P8" s="215">
        <v>370581</v>
      </c>
      <c r="Q8" s="216">
        <v>374846</v>
      </c>
      <c r="R8" s="216">
        <v>377797</v>
      </c>
      <c r="S8" s="216">
        <v>382061</v>
      </c>
      <c r="T8" s="217">
        <v>385014</v>
      </c>
      <c r="U8" s="183">
        <f>C37</f>
        <v>1.602921</v>
      </c>
      <c r="V8" s="142">
        <v>1500</v>
      </c>
      <c r="W8" s="193">
        <f t="shared" ref="W8:W27" si="1">V8*U8</f>
        <v>2404.3815</v>
      </c>
      <c r="X8" s="193">
        <f t="shared" ref="X8:X27" si="2">W8/12</f>
        <v>200.36512500000001</v>
      </c>
      <c r="Y8" s="193">
        <f t="shared" ref="Y8:Y27" si="3">W8*AA8/100</f>
        <v>402.73390124999997</v>
      </c>
      <c r="Z8" s="193">
        <f t="shared" ref="Z8:Z27" si="4">W8+Y8</f>
        <v>2807.1154012500001</v>
      </c>
      <c r="AA8" s="1">
        <f>C38</f>
        <v>16.75</v>
      </c>
      <c r="AB8" s="180">
        <f>C39</f>
        <v>19.52</v>
      </c>
      <c r="AC8" s="142">
        <v>1500</v>
      </c>
      <c r="AD8" s="193">
        <f t="shared" ref="AD8:AD27" si="5">AC8*U8</f>
        <v>2404.3815</v>
      </c>
      <c r="AE8" s="193">
        <f t="shared" ref="AE8:AE27" si="6">AD8/12</f>
        <v>200.36512500000001</v>
      </c>
      <c r="AF8" s="193">
        <f t="shared" ref="AF8:AF27" si="7">AD8*AB8/100</f>
        <v>469.33526879999999</v>
      </c>
      <c r="AG8" s="193">
        <f t="shared" ref="AG8:AG26" si="8">AD8+AF8</f>
        <v>2873.7167688</v>
      </c>
      <c r="AH8" s="177"/>
      <c r="AI8" s="177"/>
      <c r="AJ8" s="231" t="s">
        <v>280</v>
      </c>
      <c r="AK8" s="232" t="s">
        <v>31</v>
      </c>
      <c r="AL8" s="233">
        <v>0</v>
      </c>
      <c r="AM8" s="233">
        <v>0</v>
      </c>
      <c r="AN8" s="234">
        <f t="shared" si="0"/>
        <v>0</v>
      </c>
      <c r="AO8" s="177"/>
      <c r="AP8" s="177"/>
      <c r="AQ8" s="177"/>
      <c r="AR8" s="177"/>
    </row>
    <row r="9" spans="1:44" ht="16">
      <c r="A9" s="184">
        <v>30</v>
      </c>
      <c r="B9" s="208">
        <v>376791</v>
      </c>
      <c r="C9" s="209">
        <v>380829</v>
      </c>
      <c r="D9" s="209">
        <v>383626</v>
      </c>
      <c r="E9" s="209">
        <v>387662</v>
      </c>
      <c r="F9" s="210">
        <v>390458</v>
      </c>
      <c r="G9" s="178"/>
      <c r="H9" s="179">
        <v>30</v>
      </c>
      <c r="I9" s="213">
        <v>31399.25</v>
      </c>
      <c r="J9" s="214">
        <v>31735.75</v>
      </c>
      <c r="K9" s="214">
        <v>31968.833333333332</v>
      </c>
      <c r="L9" s="214">
        <v>32305.166666666668</v>
      </c>
      <c r="M9" s="214">
        <v>32538.166666666668</v>
      </c>
      <c r="N9" s="181"/>
      <c r="O9" s="179">
        <v>30</v>
      </c>
      <c r="P9" s="218">
        <v>376791</v>
      </c>
      <c r="Q9" s="219">
        <v>380829</v>
      </c>
      <c r="R9" s="219">
        <v>383626</v>
      </c>
      <c r="S9" s="219">
        <v>387662</v>
      </c>
      <c r="T9" s="220">
        <v>390458</v>
      </c>
      <c r="U9" s="183">
        <f>C37</f>
        <v>1.602921</v>
      </c>
      <c r="V9" s="147">
        <v>2500</v>
      </c>
      <c r="W9" s="193">
        <f t="shared" si="1"/>
        <v>4007.3025000000002</v>
      </c>
      <c r="X9" s="193">
        <f t="shared" si="2"/>
        <v>333.94187500000004</v>
      </c>
      <c r="Y9" s="193">
        <f t="shared" si="3"/>
        <v>671.22316875000001</v>
      </c>
      <c r="Z9" s="193">
        <f t="shared" si="4"/>
        <v>4678.5256687500005</v>
      </c>
      <c r="AA9" s="1">
        <f>C38</f>
        <v>16.75</v>
      </c>
      <c r="AB9" s="180">
        <f>C39</f>
        <v>19.52</v>
      </c>
      <c r="AC9" s="147">
        <v>2500</v>
      </c>
      <c r="AD9" s="193">
        <f t="shared" si="5"/>
        <v>4007.3025000000002</v>
      </c>
      <c r="AE9" s="193">
        <f t="shared" si="6"/>
        <v>333.94187500000004</v>
      </c>
      <c r="AF9" s="193">
        <f t="shared" si="7"/>
        <v>782.22544800000003</v>
      </c>
      <c r="AG9" s="193">
        <f t="shared" si="8"/>
        <v>4789.5279479999999</v>
      </c>
      <c r="AH9" s="177"/>
      <c r="AI9" s="177"/>
      <c r="AJ9" s="177"/>
      <c r="AK9" s="177"/>
      <c r="AL9" s="177"/>
      <c r="AM9" s="177"/>
      <c r="AN9" s="177"/>
      <c r="AO9" s="177"/>
      <c r="AP9" s="177"/>
      <c r="AQ9" s="177"/>
      <c r="AR9" s="177"/>
    </row>
    <row r="10" spans="1:44" ht="16">
      <c r="A10" s="176">
        <v>31</v>
      </c>
      <c r="B10" s="205">
        <v>383141</v>
      </c>
      <c r="C10" s="206">
        <v>386940</v>
      </c>
      <c r="D10" s="206">
        <v>389569</v>
      </c>
      <c r="E10" s="206">
        <v>393368</v>
      </c>
      <c r="F10" s="207">
        <v>395996</v>
      </c>
      <c r="G10" s="178"/>
      <c r="H10" s="179">
        <v>31</v>
      </c>
      <c r="I10" s="211">
        <v>31928.416666666668</v>
      </c>
      <c r="J10" s="212">
        <v>32245</v>
      </c>
      <c r="K10" s="212">
        <v>32464.083333333332</v>
      </c>
      <c r="L10" s="212">
        <v>32780.666666666664</v>
      </c>
      <c r="M10" s="212">
        <v>32999.666666666664</v>
      </c>
      <c r="N10" s="181"/>
      <c r="O10" s="179">
        <v>31</v>
      </c>
      <c r="P10" s="215">
        <v>383141</v>
      </c>
      <c r="Q10" s="216">
        <v>386940</v>
      </c>
      <c r="R10" s="216">
        <v>389569</v>
      </c>
      <c r="S10" s="216">
        <v>393368</v>
      </c>
      <c r="T10" s="217">
        <v>395996</v>
      </c>
      <c r="U10" s="183">
        <f>C37</f>
        <v>1.602921</v>
      </c>
      <c r="V10" s="148">
        <v>2800</v>
      </c>
      <c r="W10" s="193">
        <f t="shared" si="1"/>
        <v>4488.1787999999997</v>
      </c>
      <c r="X10" s="193">
        <f t="shared" si="2"/>
        <v>374.01489999999995</v>
      </c>
      <c r="Y10" s="193">
        <f t="shared" si="3"/>
        <v>751.76994899999988</v>
      </c>
      <c r="Z10" s="193">
        <f t="shared" si="4"/>
        <v>5239.9487489999992</v>
      </c>
      <c r="AA10" s="1">
        <f>C38</f>
        <v>16.75</v>
      </c>
      <c r="AB10" s="180">
        <f>C39</f>
        <v>19.52</v>
      </c>
      <c r="AC10" s="148">
        <v>2800</v>
      </c>
      <c r="AD10" s="193">
        <f t="shared" si="5"/>
        <v>4488.1787999999997</v>
      </c>
      <c r="AE10" s="193">
        <f t="shared" si="6"/>
        <v>374.01489999999995</v>
      </c>
      <c r="AF10" s="193">
        <f t="shared" si="7"/>
        <v>876.09250175999989</v>
      </c>
      <c r="AG10" s="193">
        <f t="shared" si="8"/>
        <v>5364.2713017599999</v>
      </c>
      <c r="AH10" s="177"/>
      <c r="AI10" s="177"/>
      <c r="AJ10" s="177"/>
      <c r="AK10" s="177"/>
      <c r="AL10" s="177"/>
      <c r="AM10" s="177"/>
      <c r="AN10" s="177"/>
      <c r="AO10" s="177"/>
      <c r="AP10" s="177"/>
      <c r="AQ10" s="177"/>
      <c r="AR10" s="177"/>
    </row>
    <row r="11" spans="1:44" ht="16">
      <c r="A11" s="176">
        <v>32</v>
      </c>
      <c r="B11" s="205">
        <v>389633</v>
      </c>
      <c r="C11" s="206">
        <v>393175</v>
      </c>
      <c r="D11" s="206">
        <v>395626</v>
      </c>
      <c r="E11" s="206">
        <v>399170</v>
      </c>
      <c r="F11" s="207">
        <v>401623</v>
      </c>
      <c r="G11" s="178"/>
      <c r="H11" s="179">
        <v>32</v>
      </c>
      <c r="I11" s="211">
        <v>32469.416666666668</v>
      </c>
      <c r="J11" s="212">
        <v>32764.583333333332</v>
      </c>
      <c r="K11" s="212">
        <v>32968.833333333336</v>
      </c>
      <c r="L11" s="212">
        <v>33264.166666666664</v>
      </c>
      <c r="M11" s="212">
        <v>33468.583333333336</v>
      </c>
      <c r="N11" s="181"/>
      <c r="O11" s="179">
        <v>32</v>
      </c>
      <c r="P11" s="215">
        <v>389633</v>
      </c>
      <c r="Q11" s="216">
        <v>393175</v>
      </c>
      <c r="R11" s="216">
        <v>395626</v>
      </c>
      <c r="S11" s="216">
        <v>399170</v>
      </c>
      <c r="T11" s="217">
        <v>401623</v>
      </c>
      <c r="U11" s="183">
        <f>C37</f>
        <v>1.602921</v>
      </c>
      <c r="V11" s="148">
        <v>3100</v>
      </c>
      <c r="W11" s="193">
        <f t="shared" si="1"/>
        <v>4969.0551000000005</v>
      </c>
      <c r="X11" s="193">
        <f t="shared" si="2"/>
        <v>414.08792500000004</v>
      </c>
      <c r="Y11" s="193">
        <f t="shared" si="3"/>
        <v>832.31672925000009</v>
      </c>
      <c r="Z11" s="193">
        <f t="shared" si="4"/>
        <v>5801.3718292500007</v>
      </c>
      <c r="AA11" s="1">
        <f>C38</f>
        <v>16.75</v>
      </c>
      <c r="AB11" s="180">
        <f>C39</f>
        <v>19.52</v>
      </c>
      <c r="AC11" s="148">
        <v>3100</v>
      </c>
      <c r="AD11" s="193">
        <f t="shared" si="5"/>
        <v>4969.0551000000005</v>
      </c>
      <c r="AE11" s="193">
        <f t="shared" si="6"/>
        <v>414.08792500000004</v>
      </c>
      <c r="AF11" s="193">
        <f t="shared" si="7"/>
        <v>969.95955552000009</v>
      </c>
      <c r="AG11" s="193">
        <f t="shared" si="8"/>
        <v>5939.0146555200008</v>
      </c>
      <c r="AH11" s="177"/>
      <c r="AI11" s="177"/>
      <c r="AJ11" s="177"/>
      <c r="AK11" s="177"/>
      <c r="AL11" s="177"/>
      <c r="AM11" s="177"/>
      <c r="AN11" s="177"/>
      <c r="AO11" s="177"/>
      <c r="AP11" s="177"/>
      <c r="AQ11" s="177"/>
      <c r="AR11" s="177"/>
    </row>
    <row r="12" spans="1:44" ht="16">
      <c r="A12" s="176">
        <v>33</v>
      </c>
      <c r="B12" s="205">
        <v>396266</v>
      </c>
      <c r="C12" s="206">
        <v>399538</v>
      </c>
      <c r="D12" s="206">
        <v>401802</v>
      </c>
      <c r="E12" s="206">
        <v>405074</v>
      </c>
      <c r="F12" s="207">
        <v>407337</v>
      </c>
      <c r="G12" s="178"/>
      <c r="H12" s="179">
        <v>33</v>
      </c>
      <c r="I12" s="211">
        <v>33022.166666666664</v>
      </c>
      <c r="J12" s="212">
        <v>33294.833333333336</v>
      </c>
      <c r="K12" s="212">
        <v>33483.5</v>
      </c>
      <c r="L12" s="212">
        <v>33756.166666666664</v>
      </c>
      <c r="M12" s="212">
        <v>33944.75</v>
      </c>
      <c r="N12" s="181"/>
      <c r="O12" s="179">
        <v>33</v>
      </c>
      <c r="P12" s="215">
        <v>396266</v>
      </c>
      <c r="Q12" s="216">
        <v>399538</v>
      </c>
      <c r="R12" s="216">
        <v>401802</v>
      </c>
      <c r="S12" s="216">
        <v>405074</v>
      </c>
      <c r="T12" s="217">
        <v>407337</v>
      </c>
      <c r="U12">
        <f>C37</f>
        <v>1.602921</v>
      </c>
      <c r="V12" s="148">
        <v>3400</v>
      </c>
      <c r="W12" s="193">
        <f t="shared" si="1"/>
        <v>5449.9314000000004</v>
      </c>
      <c r="X12" s="193">
        <f t="shared" si="2"/>
        <v>454.16095000000001</v>
      </c>
      <c r="Y12" s="193">
        <f t="shared" si="3"/>
        <v>912.86350950000008</v>
      </c>
      <c r="Z12" s="193">
        <f t="shared" si="4"/>
        <v>6362.7949095000004</v>
      </c>
      <c r="AA12" s="1">
        <f>C38</f>
        <v>16.75</v>
      </c>
      <c r="AB12" s="185">
        <f>C39</f>
        <v>19.52</v>
      </c>
      <c r="AC12" s="148">
        <v>3400</v>
      </c>
      <c r="AD12" s="193">
        <f t="shared" si="5"/>
        <v>5449.9314000000004</v>
      </c>
      <c r="AE12" s="193">
        <f t="shared" si="6"/>
        <v>454.16095000000001</v>
      </c>
      <c r="AF12" s="193">
        <f t="shared" si="7"/>
        <v>1063.8266092800002</v>
      </c>
      <c r="AG12" s="193">
        <f t="shared" si="8"/>
        <v>6513.7580092800008</v>
      </c>
    </row>
    <row r="13" spans="1:44" ht="16">
      <c r="A13" s="176">
        <v>34</v>
      </c>
      <c r="B13" s="205">
        <v>403053</v>
      </c>
      <c r="C13" s="206">
        <v>406038</v>
      </c>
      <c r="D13" s="206">
        <v>408102</v>
      </c>
      <c r="E13" s="206">
        <v>411087</v>
      </c>
      <c r="F13" s="207">
        <v>413153</v>
      </c>
      <c r="G13" s="178"/>
      <c r="H13" s="179">
        <v>34</v>
      </c>
      <c r="I13" s="211">
        <v>33587.75</v>
      </c>
      <c r="J13" s="212">
        <v>33836.5</v>
      </c>
      <c r="K13" s="212">
        <v>34008.5</v>
      </c>
      <c r="L13" s="212">
        <v>34257.25</v>
      </c>
      <c r="M13" s="212">
        <v>34429.416666666664</v>
      </c>
      <c r="N13" s="181"/>
      <c r="O13" s="179">
        <v>34</v>
      </c>
      <c r="P13" s="215">
        <v>403053</v>
      </c>
      <c r="Q13" s="216">
        <v>406038</v>
      </c>
      <c r="R13" s="216">
        <v>408102</v>
      </c>
      <c r="S13" s="216">
        <v>411087</v>
      </c>
      <c r="T13" s="217">
        <v>413153</v>
      </c>
      <c r="U13">
        <f>C37</f>
        <v>1.602921</v>
      </c>
      <c r="V13" s="148">
        <v>3600</v>
      </c>
      <c r="W13" s="193">
        <f t="shared" si="1"/>
        <v>5770.5155999999997</v>
      </c>
      <c r="X13" s="193">
        <f t="shared" si="2"/>
        <v>480.87629999999996</v>
      </c>
      <c r="Y13" s="193">
        <f t="shared" si="3"/>
        <v>966.56136300000003</v>
      </c>
      <c r="Z13" s="193">
        <f t="shared" si="4"/>
        <v>6737.0769629999995</v>
      </c>
      <c r="AA13" s="1">
        <f>C38</f>
        <v>16.75</v>
      </c>
      <c r="AB13" s="185">
        <f>C39</f>
        <v>19.52</v>
      </c>
      <c r="AC13" s="148">
        <v>3600</v>
      </c>
      <c r="AD13" s="193">
        <f t="shared" si="5"/>
        <v>5770.5155999999997</v>
      </c>
      <c r="AE13" s="193">
        <f t="shared" si="6"/>
        <v>480.87629999999996</v>
      </c>
      <c r="AF13" s="193">
        <f t="shared" si="7"/>
        <v>1126.4046451199999</v>
      </c>
      <c r="AG13" s="193">
        <f t="shared" si="8"/>
        <v>6896.9202451199999</v>
      </c>
    </row>
    <row r="14" spans="1:44" ht="16">
      <c r="A14" s="184">
        <v>35</v>
      </c>
      <c r="B14" s="208">
        <v>409982</v>
      </c>
      <c r="C14" s="209">
        <v>412662</v>
      </c>
      <c r="D14" s="209">
        <v>414517</v>
      </c>
      <c r="E14" s="209">
        <v>417195</v>
      </c>
      <c r="F14" s="210">
        <v>419051</v>
      </c>
      <c r="G14" s="178"/>
      <c r="H14" s="179">
        <v>35</v>
      </c>
      <c r="I14" s="213">
        <v>34165.166666666664</v>
      </c>
      <c r="J14" s="214">
        <v>34388.5</v>
      </c>
      <c r="K14" s="214">
        <v>34543.083333333336</v>
      </c>
      <c r="L14" s="214">
        <v>34766.25</v>
      </c>
      <c r="M14" s="214">
        <v>34920.916666666664</v>
      </c>
      <c r="N14" s="181"/>
      <c r="O14" s="179">
        <v>35</v>
      </c>
      <c r="P14" s="218">
        <v>409982</v>
      </c>
      <c r="Q14" s="219">
        <v>412662</v>
      </c>
      <c r="R14" s="219">
        <v>414517</v>
      </c>
      <c r="S14" s="219">
        <v>417195</v>
      </c>
      <c r="T14" s="220">
        <v>419051</v>
      </c>
      <c r="U14">
        <f>C37</f>
        <v>1.602921</v>
      </c>
      <c r="V14" s="148">
        <v>3800</v>
      </c>
      <c r="W14" s="193">
        <f t="shared" si="1"/>
        <v>6091.0998</v>
      </c>
      <c r="X14" s="193">
        <f t="shared" si="2"/>
        <v>507.59165000000002</v>
      </c>
      <c r="Y14" s="193">
        <f t="shared" si="3"/>
        <v>1020.2592165000001</v>
      </c>
      <c r="Z14" s="193">
        <f t="shared" si="4"/>
        <v>7111.3590165000005</v>
      </c>
      <c r="AA14" s="1">
        <f>C38</f>
        <v>16.75</v>
      </c>
      <c r="AB14" s="185">
        <f>C39</f>
        <v>19.52</v>
      </c>
      <c r="AC14" s="148">
        <v>3800</v>
      </c>
      <c r="AD14" s="193">
        <f t="shared" si="5"/>
        <v>6091.0998</v>
      </c>
      <c r="AE14" s="193">
        <f t="shared" si="6"/>
        <v>507.59165000000002</v>
      </c>
      <c r="AF14" s="193">
        <f t="shared" si="7"/>
        <v>1188.9826809599999</v>
      </c>
      <c r="AG14" s="193">
        <f t="shared" si="8"/>
        <v>7280.0824809599999</v>
      </c>
    </row>
    <row r="15" spans="1:44" ht="16">
      <c r="A15" s="176">
        <v>36</v>
      </c>
      <c r="B15" s="205">
        <v>417070</v>
      </c>
      <c r="C15" s="206">
        <v>419428</v>
      </c>
      <c r="D15" s="206">
        <v>421058</v>
      </c>
      <c r="E15" s="206">
        <v>423414</v>
      </c>
      <c r="F15" s="207">
        <v>425046</v>
      </c>
      <c r="G15" s="178"/>
      <c r="H15" s="179">
        <v>36</v>
      </c>
      <c r="I15" s="211">
        <v>34755.833333333336</v>
      </c>
      <c r="J15" s="212">
        <v>34952.333333333336</v>
      </c>
      <c r="K15" s="212">
        <v>35088.166666666664</v>
      </c>
      <c r="L15" s="212">
        <v>35284.5</v>
      </c>
      <c r="M15" s="212">
        <v>35420.5</v>
      </c>
      <c r="N15" s="181"/>
      <c r="O15" s="179">
        <v>36</v>
      </c>
      <c r="P15" s="215">
        <v>417070</v>
      </c>
      <c r="Q15" s="216">
        <v>419428</v>
      </c>
      <c r="R15" s="216">
        <v>421058</v>
      </c>
      <c r="S15" s="216">
        <v>423414</v>
      </c>
      <c r="T15" s="217">
        <v>425046</v>
      </c>
      <c r="U15">
        <f>C37</f>
        <v>1.602921</v>
      </c>
      <c r="V15" s="148">
        <v>4100</v>
      </c>
      <c r="W15" s="193">
        <f t="shared" si="1"/>
        <v>6571.9760999999999</v>
      </c>
      <c r="X15" s="193">
        <f t="shared" si="2"/>
        <v>547.66467499999999</v>
      </c>
      <c r="Y15" s="193">
        <f t="shared" si="3"/>
        <v>1100.8059967500001</v>
      </c>
      <c r="Z15" s="193">
        <f t="shared" si="4"/>
        <v>7672.7820967500002</v>
      </c>
      <c r="AA15" s="1">
        <f>C38</f>
        <v>16.75</v>
      </c>
      <c r="AB15" s="185">
        <f>C39</f>
        <v>19.52</v>
      </c>
      <c r="AC15" s="148">
        <v>4100</v>
      </c>
      <c r="AD15" s="193">
        <f t="shared" si="5"/>
        <v>6571.9760999999999</v>
      </c>
      <c r="AE15" s="193">
        <f t="shared" si="6"/>
        <v>547.66467499999999</v>
      </c>
      <c r="AF15" s="193">
        <f t="shared" si="7"/>
        <v>1282.84973472</v>
      </c>
      <c r="AG15" s="193">
        <f t="shared" si="8"/>
        <v>7854.8258347199999</v>
      </c>
    </row>
    <row r="16" spans="1:44" ht="16">
      <c r="A16" s="176">
        <v>37</v>
      </c>
      <c r="B16" s="205">
        <v>424312</v>
      </c>
      <c r="C16" s="206">
        <v>426327</v>
      </c>
      <c r="D16" s="206">
        <v>427723</v>
      </c>
      <c r="E16" s="206">
        <v>429738</v>
      </c>
      <c r="F16" s="207">
        <v>431132</v>
      </c>
      <c r="G16" s="178"/>
      <c r="H16" s="179">
        <v>37</v>
      </c>
      <c r="I16" s="211">
        <v>35359.333333333336</v>
      </c>
      <c r="J16" s="212">
        <v>35527.25</v>
      </c>
      <c r="K16" s="212">
        <v>35643.583333333336</v>
      </c>
      <c r="L16" s="212">
        <v>35811.5</v>
      </c>
      <c r="M16" s="212">
        <v>35927.666666666664</v>
      </c>
      <c r="N16" s="181"/>
      <c r="O16" s="179">
        <v>37</v>
      </c>
      <c r="P16" s="215">
        <v>424312</v>
      </c>
      <c r="Q16" s="216">
        <v>426327</v>
      </c>
      <c r="R16" s="216">
        <v>427723</v>
      </c>
      <c r="S16" s="216">
        <v>429738</v>
      </c>
      <c r="T16" s="217">
        <v>431132</v>
      </c>
      <c r="U16">
        <f>C37</f>
        <v>1.602921</v>
      </c>
      <c r="V16" s="148">
        <v>4300</v>
      </c>
      <c r="W16" s="193">
        <f t="shared" si="1"/>
        <v>6892.5603000000001</v>
      </c>
      <c r="X16" s="193">
        <f t="shared" si="2"/>
        <v>574.38002500000005</v>
      </c>
      <c r="Y16" s="193">
        <f t="shared" si="3"/>
        <v>1154.5038502499999</v>
      </c>
      <c r="Z16" s="193">
        <f t="shared" si="4"/>
        <v>8047.0641502500002</v>
      </c>
      <c r="AA16" s="1">
        <f>C38</f>
        <v>16.75</v>
      </c>
      <c r="AB16" s="185">
        <f>C39</f>
        <v>19.52</v>
      </c>
      <c r="AC16" s="148">
        <v>4300</v>
      </c>
      <c r="AD16" s="193">
        <f t="shared" si="5"/>
        <v>6892.5603000000001</v>
      </c>
      <c r="AE16" s="193">
        <f t="shared" si="6"/>
        <v>574.38002500000005</v>
      </c>
      <c r="AF16" s="193">
        <f t="shared" si="7"/>
        <v>1345.42777056</v>
      </c>
      <c r="AG16" s="193">
        <f t="shared" si="8"/>
        <v>8237.9880705600008</v>
      </c>
    </row>
    <row r="17" spans="1:33" ht="16">
      <c r="A17" s="176">
        <v>38</v>
      </c>
      <c r="B17" s="205">
        <v>432000</v>
      </c>
      <c r="C17" s="206">
        <v>433686</v>
      </c>
      <c r="D17" s="206">
        <v>434855</v>
      </c>
      <c r="E17" s="206">
        <v>436541</v>
      </c>
      <c r="F17" s="207">
        <v>437711</v>
      </c>
      <c r="G17" s="178"/>
      <c r="H17" s="179">
        <v>38</v>
      </c>
      <c r="I17" s="211">
        <v>36000</v>
      </c>
      <c r="J17" s="212">
        <v>36140.5</v>
      </c>
      <c r="K17" s="212">
        <v>36237.916666666664</v>
      </c>
      <c r="L17" s="212">
        <v>36378.416666666664</v>
      </c>
      <c r="M17" s="212">
        <v>36475.916666666664</v>
      </c>
      <c r="N17" s="181"/>
      <c r="O17" s="179">
        <v>38</v>
      </c>
      <c r="P17" s="215">
        <v>432000</v>
      </c>
      <c r="Q17" s="216">
        <v>433686</v>
      </c>
      <c r="R17" s="216">
        <v>434855</v>
      </c>
      <c r="S17" s="216">
        <v>436541</v>
      </c>
      <c r="T17" s="217">
        <v>437711</v>
      </c>
      <c r="U17">
        <f>C37</f>
        <v>1.602921</v>
      </c>
      <c r="V17" s="148">
        <v>4800</v>
      </c>
      <c r="W17" s="193">
        <f t="shared" si="1"/>
        <v>7694.0208000000002</v>
      </c>
      <c r="X17" s="193">
        <f t="shared" si="2"/>
        <v>641.16840000000002</v>
      </c>
      <c r="Y17" s="193">
        <f t="shared" si="3"/>
        <v>1288.748484</v>
      </c>
      <c r="Z17" s="193">
        <f t="shared" si="4"/>
        <v>8982.769284</v>
      </c>
      <c r="AA17" s="1">
        <f>C38</f>
        <v>16.75</v>
      </c>
      <c r="AB17" s="185">
        <f>C39</f>
        <v>19.52</v>
      </c>
      <c r="AC17" s="148">
        <v>4800</v>
      </c>
      <c r="AD17" s="193">
        <f t="shared" si="5"/>
        <v>7694.0208000000002</v>
      </c>
      <c r="AE17" s="193">
        <f t="shared" si="6"/>
        <v>641.16840000000002</v>
      </c>
      <c r="AF17" s="193">
        <f t="shared" si="7"/>
        <v>1501.8728601600001</v>
      </c>
      <c r="AG17" s="193">
        <f t="shared" si="8"/>
        <v>9195.8936601599999</v>
      </c>
    </row>
    <row r="18" spans="1:33" ht="16">
      <c r="A18" s="176">
        <v>39</v>
      </c>
      <c r="B18" s="205">
        <v>439718</v>
      </c>
      <c r="C18" s="206">
        <v>441016</v>
      </c>
      <c r="D18" s="206">
        <v>441916</v>
      </c>
      <c r="E18" s="206">
        <v>443214</v>
      </c>
      <c r="F18" s="207">
        <v>444115</v>
      </c>
      <c r="G18" s="178"/>
      <c r="H18" s="179">
        <v>39</v>
      </c>
      <c r="I18" s="211">
        <v>36643.166666666664</v>
      </c>
      <c r="J18" s="212">
        <v>36751.333333333336</v>
      </c>
      <c r="K18" s="212">
        <v>36826.333333333336</v>
      </c>
      <c r="L18" s="212">
        <v>36934.5</v>
      </c>
      <c r="M18" s="212">
        <v>37009.583333333336</v>
      </c>
      <c r="N18" s="181"/>
      <c r="O18" s="179">
        <v>39</v>
      </c>
      <c r="P18" s="215">
        <v>439718</v>
      </c>
      <c r="Q18" s="216">
        <v>441016</v>
      </c>
      <c r="R18" s="216">
        <v>441916</v>
      </c>
      <c r="S18" s="216">
        <v>443214</v>
      </c>
      <c r="T18" s="217">
        <v>444115</v>
      </c>
      <c r="U18">
        <f>C37</f>
        <v>1.602921</v>
      </c>
      <c r="V18" s="148">
        <v>4900</v>
      </c>
      <c r="W18" s="193">
        <f t="shared" si="1"/>
        <v>7854.3128999999999</v>
      </c>
      <c r="X18" s="193">
        <f t="shared" si="2"/>
        <v>654.52607499999999</v>
      </c>
      <c r="Y18" s="193">
        <f t="shared" si="3"/>
        <v>1315.5974107499999</v>
      </c>
      <c r="Z18" s="193">
        <f t="shared" si="4"/>
        <v>9169.9103107499996</v>
      </c>
      <c r="AA18" s="1">
        <f>C38</f>
        <v>16.75</v>
      </c>
      <c r="AB18" s="185">
        <f>C39</f>
        <v>19.52</v>
      </c>
      <c r="AC18" s="148">
        <v>4900</v>
      </c>
      <c r="AD18" s="193">
        <f t="shared" si="5"/>
        <v>7854.3128999999999</v>
      </c>
      <c r="AE18" s="193">
        <f t="shared" si="6"/>
        <v>654.52607499999999</v>
      </c>
      <c r="AF18" s="193">
        <f t="shared" si="7"/>
        <v>1533.16187808</v>
      </c>
      <c r="AG18" s="193">
        <f t="shared" si="8"/>
        <v>9387.4747780799989</v>
      </c>
    </row>
    <row r="19" spans="1:33" ht="16">
      <c r="A19" s="184">
        <v>40</v>
      </c>
      <c r="B19" s="208">
        <v>447611</v>
      </c>
      <c r="C19" s="209">
        <v>448499</v>
      </c>
      <c r="D19" s="209">
        <v>449115</v>
      </c>
      <c r="E19" s="209">
        <v>450004</v>
      </c>
      <c r="F19" s="210">
        <v>450620</v>
      </c>
      <c r="G19" s="178"/>
      <c r="H19" s="179">
        <v>40</v>
      </c>
      <c r="I19" s="213">
        <v>37300.916666666664</v>
      </c>
      <c r="J19" s="214">
        <v>37374.916666666664</v>
      </c>
      <c r="K19" s="214">
        <v>37426.25</v>
      </c>
      <c r="L19" s="214">
        <v>37500.333333333336</v>
      </c>
      <c r="M19" s="214">
        <v>37551.666666666664</v>
      </c>
      <c r="N19" s="181"/>
      <c r="O19" s="179">
        <v>40</v>
      </c>
      <c r="P19" s="218">
        <v>447611</v>
      </c>
      <c r="Q19" s="219">
        <v>448499</v>
      </c>
      <c r="R19" s="219">
        <v>449115</v>
      </c>
      <c r="S19" s="219">
        <v>450004</v>
      </c>
      <c r="T19" s="220">
        <v>450620</v>
      </c>
      <c r="U19">
        <f>C37</f>
        <v>1.602921</v>
      </c>
      <c r="V19" s="148">
        <v>5200</v>
      </c>
      <c r="W19" s="193">
        <f t="shared" si="1"/>
        <v>8335.1892000000007</v>
      </c>
      <c r="X19" s="193">
        <f t="shared" si="2"/>
        <v>694.59910000000002</v>
      </c>
      <c r="Y19" s="193">
        <f t="shared" si="3"/>
        <v>1396.1441910000001</v>
      </c>
      <c r="Z19" s="193">
        <f t="shared" si="4"/>
        <v>9731.3333910000001</v>
      </c>
      <c r="AA19" s="1">
        <f>C38</f>
        <v>16.75</v>
      </c>
      <c r="AB19" s="185">
        <f>C39</f>
        <v>19.52</v>
      </c>
      <c r="AC19" s="148">
        <v>5200</v>
      </c>
      <c r="AD19" s="193">
        <f t="shared" si="5"/>
        <v>8335.1892000000007</v>
      </c>
      <c r="AE19" s="193">
        <f t="shared" si="6"/>
        <v>694.59910000000002</v>
      </c>
      <c r="AF19" s="193">
        <f t="shared" si="7"/>
        <v>1627.02893184</v>
      </c>
      <c r="AG19" s="193">
        <f t="shared" si="8"/>
        <v>9962.2181318399998</v>
      </c>
    </row>
    <row r="20" spans="1:33" ht="16">
      <c r="A20" s="176">
        <v>41</v>
      </c>
      <c r="B20" s="205">
        <v>455675</v>
      </c>
      <c r="C20" s="206">
        <v>456130</v>
      </c>
      <c r="D20" s="206">
        <v>456448</v>
      </c>
      <c r="E20" s="206">
        <v>456901</v>
      </c>
      <c r="F20" s="207">
        <v>457219</v>
      </c>
      <c r="G20" s="178"/>
      <c r="H20" s="179">
        <v>41</v>
      </c>
      <c r="I20" s="211">
        <v>37972.916666666664</v>
      </c>
      <c r="J20" s="212">
        <v>38010.833333333336</v>
      </c>
      <c r="K20" s="212">
        <v>38037.333333333336</v>
      </c>
      <c r="L20" s="212">
        <v>38075.083333333336</v>
      </c>
      <c r="M20" s="212">
        <v>38101.583333333336</v>
      </c>
      <c r="N20" s="181"/>
      <c r="O20" s="179">
        <v>41</v>
      </c>
      <c r="P20" s="215">
        <v>455675</v>
      </c>
      <c r="Q20" s="216">
        <v>456130</v>
      </c>
      <c r="R20" s="216">
        <v>456448</v>
      </c>
      <c r="S20" s="216">
        <v>456901</v>
      </c>
      <c r="T20" s="217">
        <v>457219</v>
      </c>
      <c r="U20">
        <f>C37</f>
        <v>1.602921</v>
      </c>
      <c r="V20" s="148">
        <v>6000</v>
      </c>
      <c r="W20" s="193">
        <f t="shared" si="1"/>
        <v>9617.5259999999998</v>
      </c>
      <c r="X20" s="193">
        <f t="shared" si="2"/>
        <v>801.46050000000002</v>
      </c>
      <c r="Y20" s="193">
        <f t="shared" si="3"/>
        <v>1610.9356049999999</v>
      </c>
      <c r="Z20" s="193">
        <f t="shared" si="4"/>
        <v>11228.461605</v>
      </c>
      <c r="AA20" s="1">
        <f>C38</f>
        <v>16.75</v>
      </c>
      <c r="AB20" s="185">
        <f>C39</f>
        <v>19.52</v>
      </c>
      <c r="AC20" s="148">
        <v>6000</v>
      </c>
      <c r="AD20" s="193">
        <f t="shared" si="5"/>
        <v>9617.5259999999998</v>
      </c>
      <c r="AE20" s="193">
        <f t="shared" si="6"/>
        <v>801.46050000000002</v>
      </c>
      <c r="AF20" s="193">
        <f t="shared" si="7"/>
        <v>1877.3410752</v>
      </c>
      <c r="AG20" s="193">
        <f t="shared" si="8"/>
        <v>11494.8670752</v>
      </c>
    </row>
    <row r="21" spans="1:33" ht="16">
      <c r="A21" s="176">
        <v>42</v>
      </c>
      <c r="B21" s="205">
        <v>463914</v>
      </c>
      <c r="C21" s="206">
        <v>463914</v>
      </c>
      <c r="D21" s="206">
        <v>463914</v>
      </c>
      <c r="E21" s="206">
        <v>463914</v>
      </c>
      <c r="F21" s="207">
        <v>463914</v>
      </c>
      <c r="G21" s="178"/>
      <c r="H21" s="179">
        <v>42</v>
      </c>
      <c r="I21" s="211">
        <v>38659.5</v>
      </c>
      <c r="J21" s="212">
        <v>38659.5</v>
      </c>
      <c r="K21" s="212">
        <v>38659.5</v>
      </c>
      <c r="L21" s="212">
        <v>38659.5</v>
      </c>
      <c r="M21" s="212">
        <v>38659.5</v>
      </c>
      <c r="N21" s="181"/>
      <c r="O21" s="179">
        <v>42</v>
      </c>
      <c r="P21" s="215">
        <v>463914</v>
      </c>
      <c r="Q21" s="216">
        <v>463914</v>
      </c>
      <c r="R21" s="216">
        <v>463914</v>
      </c>
      <c r="S21" s="216">
        <v>463914</v>
      </c>
      <c r="T21" s="217">
        <v>463914</v>
      </c>
      <c r="U21">
        <f>C37</f>
        <v>1.602921</v>
      </c>
      <c r="V21" s="148">
        <v>7000</v>
      </c>
      <c r="W21" s="193">
        <f t="shared" si="1"/>
        <v>11220.447</v>
      </c>
      <c r="X21" s="193">
        <f t="shared" si="2"/>
        <v>935.03724999999997</v>
      </c>
      <c r="Y21" s="193">
        <f t="shared" si="3"/>
        <v>1879.4248725</v>
      </c>
      <c r="Z21" s="193">
        <f t="shared" si="4"/>
        <v>13099.8718725</v>
      </c>
      <c r="AA21" s="1">
        <f>C38</f>
        <v>16.75</v>
      </c>
      <c r="AB21" s="185">
        <f>C39</f>
        <v>19.52</v>
      </c>
      <c r="AC21" s="148">
        <v>7000</v>
      </c>
      <c r="AD21" s="193">
        <f t="shared" si="5"/>
        <v>11220.447</v>
      </c>
      <c r="AE21" s="193">
        <f t="shared" si="6"/>
        <v>935.03724999999997</v>
      </c>
      <c r="AF21" s="193">
        <f t="shared" si="7"/>
        <v>2190.2312544000001</v>
      </c>
      <c r="AG21" s="193">
        <f t="shared" si="8"/>
        <v>13410.6782544</v>
      </c>
    </row>
    <row r="22" spans="1:33" ht="16">
      <c r="A22" s="176">
        <v>43</v>
      </c>
      <c r="B22" s="205">
        <v>474224</v>
      </c>
      <c r="C22" s="206">
        <v>474224</v>
      </c>
      <c r="D22" s="206">
        <v>474224</v>
      </c>
      <c r="E22" s="206">
        <v>474224</v>
      </c>
      <c r="F22" s="207">
        <v>474224</v>
      </c>
      <c r="G22" s="178"/>
      <c r="H22" s="179">
        <v>43</v>
      </c>
      <c r="I22" s="211">
        <v>39518.666666666664</v>
      </c>
      <c r="J22" s="212">
        <v>39518.666666666664</v>
      </c>
      <c r="K22" s="212">
        <v>39518.666666666664</v>
      </c>
      <c r="L22" s="212">
        <v>39518.666666666664</v>
      </c>
      <c r="M22" s="212">
        <v>39518.666666666664</v>
      </c>
      <c r="N22" s="181"/>
      <c r="O22" s="179">
        <v>43</v>
      </c>
      <c r="P22" s="215">
        <v>474224</v>
      </c>
      <c r="Q22" s="216">
        <v>474224</v>
      </c>
      <c r="R22" s="216">
        <v>474224</v>
      </c>
      <c r="S22" s="216">
        <v>474224</v>
      </c>
      <c r="T22" s="217">
        <v>474224</v>
      </c>
      <c r="U22">
        <f>C37</f>
        <v>1.602921</v>
      </c>
      <c r="V22" s="149">
        <v>8100</v>
      </c>
      <c r="W22" s="193">
        <f t="shared" si="1"/>
        <v>12983.660100000001</v>
      </c>
      <c r="X22" s="193">
        <f t="shared" si="2"/>
        <v>1081.971675</v>
      </c>
      <c r="Y22" s="193">
        <f t="shared" si="3"/>
        <v>2174.7630667500002</v>
      </c>
      <c r="Z22" s="193">
        <f t="shared" si="4"/>
        <v>15158.423166750001</v>
      </c>
      <c r="AA22" s="1">
        <f>C38</f>
        <v>16.75</v>
      </c>
      <c r="AB22" s="185">
        <f>C39</f>
        <v>19.52</v>
      </c>
      <c r="AC22" s="149">
        <v>8100</v>
      </c>
      <c r="AD22" s="193">
        <f t="shared" si="5"/>
        <v>12983.660100000001</v>
      </c>
      <c r="AE22" s="193">
        <f t="shared" si="6"/>
        <v>1081.971675</v>
      </c>
      <c r="AF22" s="193">
        <f t="shared" si="7"/>
        <v>2534.4104515200002</v>
      </c>
      <c r="AG22" s="193">
        <f t="shared" si="8"/>
        <v>15518.070551520001</v>
      </c>
    </row>
    <row r="23" spans="1:33" ht="16">
      <c r="A23" s="176">
        <v>44</v>
      </c>
      <c r="B23" s="205">
        <v>484819</v>
      </c>
      <c r="C23" s="206">
        <v>484819</v>
      </c>
      <c r="D23" s="206">
        <v>484819</v>
      </c>
      <c r="E23" s="206">
        <v>484819</v>
      </c>
      <c r="F23" s="207">
        <v>484819</v>
      </c>
      <c r="G23" s="178"/>
      <c r="H23" s="179">
        <v>44</v>
      </c>
      <c r="I23" s="211">
        <v>40401.583333333336</v>
      </c>
      <c r="J23" s="212">
        <v>40401.583333333336</v>
      </c>
      <c r="K23" s="212">
        <v>40401.583333333336</v>
      </c>
      <c r="L23" s="212">
        <v>40401.583333333336</v>
      </c>
      <c r="M23" s="212">
        <v>40401.583333333336</v>
      </c>
      <c r="N23" s="181"/>
      <c r="O23" s="179">
        <v>44</v>
      </c>
      <c r="P23" s="215">
        <v>484819</v>
      </c>
      <c r="Q23" s="216">
        <v>484819</v>
      </c>
      <c r="R23" s="216">
        <v>484819</v>
      </c>
      <c r="S23" s="216">
        <v>484819</v>
      </c>
      <c r="T23" s="217">
        <v>484819</v>
      </c>
      <c r="U23">
        <f>C37</f>
        <v>1.602921</v>
      </c>
      <c r="V23" s="149">
        <v>9100</v>
      </c>
      <c r="W23" s="193">
        <f t="shared" si="1"/>
        <v>14586.581100000001</v>
      </c>
      <c r="X23" s="193">
        <f t="shared" si="2"/>
        <v>1215.5484250000002</v>
      </c>
      <c r="Y23" s="193">
        <f t="shared" si="3"/>
        <v>2443.2523342500003</v>
      </c>
      <c r="Z23" s="193">
        <f t="shared" si="4"/>
        <v>17029.833434250002</v>
      </c>
      <c r="AA23" s="1">
        <f>C38</f>
        <v>16.75</v>
      </c>
      <c r="AB23" s="185">
        <f>C39</f>
        <v>19.52</v>
      </c>
      <c r="AC23" s="149">
        <v>9100</v>
      </c>
      <c r="AD23" s="193">
        <f t="shared" si="5"/>
        <v>14586.581100000001</v>
      </c>
      <c r="AE23" s="193">
        <f t="shared" si="6"/>
        <v>1215.5484250000002</v>
      </c>
      <c r="AF23" s="193">
        <f t="shared" si="7"/>
        <v>2847.3006307199998</v>
      </c>
      <c r="AG23" s="193">
        <f t="shared" si="8"/>
        <v>17433.881730720001</v>
      </c>
    </row>
    <row r="24" spans="1:33" ht="16">
      <c r="A24" s="184">
        <v>45</v>
      </c>
      <c r="B24" s="208">
        <v>495705</v>
      </c>
      <c r="C24" s="209">
        <v>495705</v>
      </c>
      <c r="D24" s="209">
        <v>495705</v>
      </c>
      <c r="E24" s="209">
        <v>495705</v>
      </c>
      <c r="F24" s="210">
        <v>495705</v>
      </c>
      <c r="G24" s="178"/>
      <c r="H24" s="179">
        <v>45</v>
      </c>
      <c r="I24" s="213">
        <v>41308.75</v>
      </c>
      <c r="J24" s="214">
        <v>41308.75</v>
      </c>
      <c r="K24" s="214">
        <v>41308.75</v>
      </c>
      <c r="L24" s="214">
        <v>41308.75</v>
      </c>
      <c r="M24" s="214">
        <v>41308.75</v>
      </c>
      <c r="N24" s="181"/>
      <c r="O24" s="179">
        <v>45</v>
      </c>
      <c r="P24" s="218">
        <v>495705</v>
      </c>
      <c r="Q24" s="219">
        <v>495705</v>
      </c>
      <c r="R24" s="219">
        <v>495705</v>
      </c>
      <c r="S24" s="219">
        <v>495705</v>
      </c>
      <c r="T24" s="220">
        <v>495705</v>
      </c>
      <c r="U24">
        <f>C37</f>
        <v>1.602921</v>
      </c>
      <c r="V24" s="149">
        <v>12000</v>
      </c>
      <c r="W24" s="193">
        <f t="shared" si="1"/>
        <v>19235.052</v>
      </c>
      <c r="X24" s="193">
        <f t="shared" si="2"/>
        <v>1602.921</v>
      </c>
      <c r="Y24" s="193">
        <f t="shared" si="3"/>
        <v>3221.8712099999998</v>
      </c>
      <c r="Z24" s="193">
        <f t="shared" si="4"/>
        <v>22456.923210000001</v>
      </c>
      <c r="AA24" s="1">
        <f>C38</f>
        <v>16.75</v>
      </c>
      <c r="AB24" s="185">
        <f>C39</f>
        <v>19.52</v>
      </c>
      <c r="AC24" s="149">
        <v>12000</v>
      </c>
      <c r="AD24" s="193">
        <f t="shared" si="5"/>
        <v>19235.052</v>
      </c>
      <c r="AE24" s="193">
        <f t="shared" si="6"/>
        <v>1602.921</v>
      </c>
      <c r="AF24" s="193">
        <f t="shared" si="7"/>
        <v>3754.6821504</v>
      </c>
      <c r="AG24" s="193">
        <f t="shared" si="8"/>
        <v>22989.7341504</v>
      </c>
    </row>
    <row r="25" spans="1:33" ht="16">
      <c r="A25" s="176">
        <v>46</v>
      </c>
      <c r="B25" s="205">
        <v>506890</v>
      </c>
      <c r="C25" s="206">
        <v>506890</v>
      </c>
      <c r="D25" s="206">
        <v>506890</v>
      </c>
      <c r="E25" s="206">
        <v>506890</v>
      </c>
      <c r="F25" s="207">
        <v>506890</v>
      </c>
      <c r="G25" s="178"/>
      <c r="H25" s="179">
        <v>46</v>
      </c>
      <c r="I25" s="211">
        <v>42240.833333333336</v>
      </c>
      <c r="J25" s="212">
        <v>42240.833333333336</v>
      </c>
      <c r="K25" s="212">
        <v>42240.833333333336</v>
      </c>
      <c r="L25" s="212">
        <v>42240.833333333336</v>
      </c>
      <c r="M25" s="212">
        <v>42240.833333333336</v>
      </c>
      <c r="N25" s="181"/>
      <c r="O25" s="179">
        <v>46</v>
      </c>
      <c r="P25" s="215">
        <v>506890</v>
      </c>
      <c r="Q25" s="216">
        <v>506890</v>
      </c>
      <c r="R25" s="216">
        <v>506890</v>
      </c>
      <c r="S25" s="216">
        <v>506890</v>
      </c>
      <c r="T25" s="217">
        <v>506890</v>
      </c>
      <c r="U25">
        <f>C37</f>
        <v>1.602921</v>
      </c>
      <c r="V25" s="149">
        <v>20300</v>
      </c>
      <c r="W25" s="193">
        <f t="shared" si="1"/>
        <v>32539.296300000002</v>
      </c>
      <c r="X25" s="193">
        <f t="shared" si="2"/>
        <v>2711.608025</v>
      </c>
      <c r="Y25" s="193">
        <f t="shared" si="3"/>
        <v>5450.3321302500008</v>
      </c>
      <c r="Z25" s="193">
        <f t="shared" si="4"/>
        <v>37989.628430249999</v>
      </c>
      <c r="AA25" s="1">
        <f>C38</f>
        <v>16.75</v>
      </c>
      <c r="AB25" s="185">
        <f>C39</f>
        <v>19.52</v>
      </c>
      <c r="AC25" s="149">
        <v>20300</v>
      </c>
      <c r="AD25" s="193">
        <f t="shared" si="5"/>
        <v>32539.296300000002</v>
      </c>
      <c r="AE25" s="193">
        <f t="shared" si="6"/>
        <v>2711.608025</v>
      </c>
      <c r="AF25" s="193">
        <f t="shared" si="7"/>
        <v>6351.6706377600003</v>
      </c>
      <c r="AG25" s="193">
        <f t="shared" si="8"/>
        <v>38890.96693776</v>
      </c>
    </row>
    <row r="26" spans="1:33" ht="16">
      <c r="A26" s="176">
        <v>47</v>
      </c>
      <c r="B26" s="205">
        <v>515913</v>
      </c>
      <c r="C26" s="206">
        <v>515913</v>
      </c>
      <c r="D26" s="206">
        <v>515913</v>
      </c>
      <c r="E26" s="206">
        <v>515913</v>
      </c>
      <c r="F26" s="207">
        <v>515913</v>
      </c>
      <c r="G26" s="178"/>
      <c r="H26" s="179">
        <v>47</v>
      </c>
      <c r="I26" s="211">
        <v>42992.75</v>
      </c>
      <c r="J26" s="212">
        <v>42992.75</v>
      </c>
      <c r="K26" s="212">
        <v>42992.75</v>
      </c>
      <c r="L26" s="212">
        <v>42992.75</v>
      </c>
      <c r="M26" s="212">
        <v>42992.75</v>
      </c>
      <c r="N26" s="181"/>
      <c r="O26" s="179">
        <v>47</v>
      </c>
      <c r="P26" s="215">
        <v>515913</v>
      </c>
      <c r="Q26" s="216">
        <v>515913</v>
      </c>
      <c r="R26" s="216">
        <v>515913</v>
      </c>
      <c r="S26" s="216">
        <v>515913</v>
      </c>
      <c r="T26" s="217">
        <v>515913</v>
      </c>
      <c r="U26">
        <f>C37</f>
        <v>1.602921</v>
      </c>
      <c r="V26" s="149">
        <v>30600</v>
      </c>
      <c r="W26" s="193">
        <f t="shared" si="1"/>
        <v>49049.382600000004</v>
      </c>
      <c r="X26" s="193">
        <f t="shared" si="2"/>
        <v>4087.4485500000005</v>
      </c>
      <c r="Y26" s="193">
        <f t="shared" si="3"/>
        <v>8215.7715855000006</v>
      </c>
      <c r="Z26" s="193">
        <f t="shared" si="4"/>
        <v>57265.154185500003</v>
      </c>
      <c r="AA26" s="1">
        <f>C38</f>
        <v>16.75</v>
      </c>
      <c r="AB26" s="185">
        <f>C39</f>
        <v>19.52</v>
      </c>
      <c r="AC26" s="149">
        <v>30600</v>
      </c>
      <c r="AD26" s="193">
        <f t="shared" si="5"/>
        <v>49049.382600000004</v>
      </c>
      <c r="AE26" s="193">
        <f t="shared" si="6"/>
        <v>4087.4485500000005</v>
      </c>
      <c r="AF26" s="193">
        <f t="shared" si="7"/>
        <v>9574.4394835200001</v>
      </c>
      <c r="AG26" s="193">
        <f t="shared" si="8"/>
        <v>58623.822083520005</v>
      </c>
    </row>
    <row r="27" spans="1:33" ht="17" thickBot="1">
      <c r="A27" s="176">
        <v>48</v>
      </c>
      <c r="B27" s="205">
        <v>539628</v>
      </c>
      <c r="C27" s="206">
        <v>539628</v>
      </c>
      <c r="D27" s="206">
        <v>539628</v>
      </c>
      <c r="E27" s="206">
        <v>539628</v>
      </c>
      <c r="F27" s="207">
        <v>539628</v>
      </c>
      <c r="G27" s="178"/>
      <c r="H27" s="179">
        <v>48</v>
      </c>
      <c r="I27" s="211">
        <v>44969</v>
      </c>
      <c r="J27" s="212">
        <v>44969</v>
      </c>
      <c r="K27" s="212">
        <v>44969</v>
      </c>
      <c r="L27" s="212">
        <v>44969</v>
      </c>
      <c r="M27" s="212">
        <v>44969</v>
      </c>
      <c r="N27" s="181"/>
      <c r="O27" s="179">
        <v>48</v>
      </c>
      <c r="P27" s="215">
        <v>539628</v>
      </c>
      <c r="Q27" s="216">
        <v>539628</v>
      </c>
      <c r="R27" s="216">
        <v>539628</v>
      </c>
      <c r="S27" s="216">
        <v>539628</v>
      </c>
      <c r="T27" s="217">
        <v>539628</v>
      </c>
      <c r="U27">
        <f>C37</f>
        <v>1.602921</v>
      </c>
      <c r="V27" s="90">
        <v>41000</v>
      </c>
      <c r="W27" s="193">
        <f t="shared" si="1"/>
        <v>65719.760999999999</v>
      </c>
      <c r="X27" s="193">
        <f t="shared" si="2"/>
        <v>5476.6467499999999</v>
      </c>
      <c r="Y27" s="193">
        <f t="shared" si="3"/>
        <v>11008.059967499999</v>
      </c>
      <c r="Z27" s="193">
        <f t="shared" si="4"/>
        <v>76727.820967499996</v>
      </c>
      <c r="AA27" s="1">
        <f>C38</f>
        <v>16.75</v>
      </c>
      <c r="AB27" s="1">
        <f>C39</f>
        <v>19.52</v>
      </c>
      <c r="AC27" s="90">
        <v>41000</v>
      </c>
      <c r="AD27" s="193">
        <f t="shared" si="5"/>
        <v>65719.760999999999</v>
      </c>
      <c r="AE27" s="193">
        <f t="shared" si="6"/>
        <v>5476.6467499999999</v>
      </c>
      <c r="AF27" s="193">
        <f t="shared" si="7"/>
        <v>12828.497347199998</v>
      </c>
      <c r="AG27" s="193">
        <f>AD27+AF27</f>
        <v>78548.258347199997</v>
      </c>
    </row>
    <row r="28" spans="1:33" ht="16">
      <c r="A28" s="176">
        <v>49</v>
      </c>
      <c r="B28" s="205">
        <v>575843</v>
      </c>
      <c r="C28" s="206">
        <v>575843</v>
      </c>
      <c r="D28" s="206">
        <v>575843</v>
      </c>
      <c r="E28" s="206">
        <v>575843</v>
      </c>
      <c r="F28" s="207">
        <v>575843</v>
      </c>
      <c r="G28" s="178"/>
      <c r="H28" s="179">
        <v>49</v>
      </c>
      <c r="I28" s="211">
        <v>47986.916666666664</v>
      </c>
      <c r="J28" s="212">
        <v>47986.916666666664</v>
      </c>
      <c r="K28" s="212">
        <v>47986.916666666664</v>
      </c>
      <c r="L28" s="212">
        <v>47986.916666666664</v>
      </c>
      <c r="M28" s="212">
        <v>47986.916666666664</v>
      </c>
      <c r="N28" s="181"/>
      <c r="O28" s="179">
        <v>49</v>
      </c>
      <c r="P28" s="215">
        <v>575843</v>
      </c>
      <c r="Q28" s="216">
        <v>575843</v>
      </c>
      <c r="R28" s="216">
        <v>575843</v>
      </c>
      <c r="S28" s="216">
        <v>575843</v>
      </c>
      <c r="T28" s="217">
        <v>575843</v>
      </c>
      <c r="AG28" s="180"/>
    </row>
    <row r="29" spans="1:33" ht="16">
      <c r="A29" s="184">
        <v>50</v>
      </c>
      <c r="B29" s="208">
        <v>616041</v>
      </c>
      <c r="C29" s="209">
        <v>616041</v>
      </c>
      <c r="D29" s="209">
        <v>616041</v>
      </c>
      <c r="E29" s="209">
        <v>616041</v>
      </c>
      <c r="F29" s="210">
        <v>616041</v>
      </c>
      <c r="G29" s="178"/>
      <c r="H29" s="179">
        <v>50</v>
      </c>
      <c r="I29" s="213">
        <v>51336.75</v>
      </c>
      <c r="J29" s="214">
        <v>51336.75</v>
      </c>
      <c r="K29" s="214">
        <v>51336.75</v>
      </c>
      <c r="L29" s="214">
        <v>51336.75</v>
      </c>
      <c r="M29" s="214">
        <v>51336.75</v>
      </c>
      <c r="N29" s="181"/>
      <c r="O29" s="179">
        <v>50</v>
      </c>
      <c r="P29" s="218">
        <v>630571</v>
      </c>
      <c r="Q29" s="219">
        <v>630571</v>
      </c>
      <c r="R29" s="219">
        <v>630571</v>
      </c>
      <c r="S29" s="219">
        <v>630571</v>
      </c>
      <c r="T29" s="220">
        <v>630571</v>
      </c>
      <c r="AG29" s="180"/>
    </row>
    <row r="30" spans="1:33" ht="16">
      <c r="A30" s="176">
        <v>51</v>
      </c>
      <c r="B30" s="205">
        <v>680462</v>
      </c>
      <c r="C30" s="206">
        <v>680462</v>
      </c>
      <c r="D30" s="206">
        <v>680462</v>
      </c>
      <c r="E30" s="206">
        <v>680462</v>
      </c>
      <c r="F30" s="207">
        <v>680462</v>
      </c>
      <c r="G30" s="178"/>
      <c r="H30" s="179">
        <v>51</v>
      </c>
      <c r="I30" s="211">
        <v>56705.166666666664</v>
      </c>
      <c r="J30" s="212">
        <v>56705.166666666664</v>
      </c>
      <c r="K30" s="212">
        <v>56705.166666666664</v>
      </c>
      <c r="L30" s="212">
        <v>56705.166666666664</v>
      </c>
      <c r="M30" s="212">
        <v>56705.166666666664</v>
      </c>
      <c r="N30" s="181"/>
      <c r="O30" s="179">
        <v>51</v>
      </c>
      <c r="P30" s="215">
        <v>698779</v>
      </c>
      <c r="Q30" s="216">
        <v>698779</v>
      </c>
      <c r="R30" s="216">
        <v>698779</v>
      </c>
      <c r="S30" s="216">
        <v>698779</v>
      </c>
      <c r="T30" s="217">
        <v>698779</v>
      </c>
      <c r="AG30" s="180"/>
    </row>
    <row r="31" spans="1:33" ht="16">
      <c r="A31" s="176">
        <v>52</v>
      </c>
      <c r="B31" s="205">
        <v>774281</v>
      </c>
      <c r="C31" s="206">
        <v>774281</v>
      </c>
      <c r="D31" s="206">
        <v>774281</v>
      </c>
      <c r="E31" s="206">
        <v>774281</v>
      </c>
      <c r="F31" s="207">
        <v>774281</v>
      </c>
      <c r="G31" s="178"/>
      <c r="H31" s="179">
        <v>52</v>
      </c>
      <c r="I31" s="211">
        <v>64523.416666666664</v>
      </c>
      <c r="J31" s="212">
        <v>64523.416666666664</v>
      </c>
      <c r="K31" s="212">
        <v>64523.416666666664</v>
      </c>
      <c r="L31" s="212">
        <v>64523.416666666664</v>
      </c>
      <c r="M31" s="212">
        <v>64523.416666666664</v>
      </c>
      <c r="N31" s="181"/>
      <c r="O31" s="179">
        <v>52</v>
      </c>
      <c r="P31" s="215">
        <v>795836</v>
      </c>
      <c r="Q31" s="216">
        <v>795836</v>
      </c>
      <c r="R31" s="216">
        <v>795836</v>
      </c>
      <c r="S31" s="216">
        <v>795836</v>
      </c>
      <c r="T31" s="217">
        <v>795836</v>
      </c>
      <c r="AG31" s="180"/>
    </row>
    <row r="32" spans="1:33" ht="16">
      <c r="A32" s="176">
        <v>53</v>
      </c>
      <c r="B32" s="205">
        <v>850132</v>
      </c>
      <c r="C32" s="206">
        <v>850132</v>
      </c>
      <c r="D32" s="206">
        <v>850132</v>
      </c>
      <c r="E32" s="206">
        <v>850132</v>
      </c>
      <c r="F32" s="207">
        <v>850132</v>
      </c>
      <c r="G32" s="178"/>
      <c r="H32" s="179">
        <v>53</v>
      </c>
      <c r="I32" s="211">
        <v>70844.333333333328</v>
      </c>
      <c r="J32" s="212">
        <v>70844.333333333328</v>
      </c>
      <c r="K32" s="212">
        <v>70844.333333333328</v>
      </c>
      <c r="L32" s="212">
        <v>70844.333333333328</v>
      </c>
      <c r="M32" s="212">
        <v>70844.333333333328</v>
      </c>
      <c r="N32" s="181"/>
      <c r="O32" s="179">
        <v>53</v>
      </c>
      <c r="P32" s="215">
        <v>885898</v>
      </c>
      <c r="Q32" s="216">
        <v>885898</v>
      </c>
      <c r="R32" s="216">
        <v>885898</v>
      </c>
      <c r="S32" s="216">
        <v>885898</v>
      </c>
      <c r="T32" s="217">
        <v>885898</v>
      </c>
      <c r="AG32" s="180"/>
    </row>
    <row r="33" spans="1:33" ht="16">
      <c r="A33" s="176">
        <v>54</v>
      </c>
      <c r="B33" s="205">
        <v>951252</v>
      </c>
      <c r="C33" s="206">
        <v>951252</v>
      </c>
      <c r="D33" s="206">
        <v>951252</v>
      </c>
      <c r="E33" s="206">
        <v>951252</v>
      </c>
      <c r="F33" s="207">
        <v>951252</v>
      </c>
      <c r="G33" s="178"/>
      <c r="H33" s="179">
        <v>54</v>
      </c>
      <c r="I33" s="211">
        <v>79271</v>
      </c>
      <c r="J33" s="212">
        <v>79271</v>
      </c>
      <c r="K33" s="212">
        <v>79271</v>
      </c>
      <c r="L33" s="212">
        <v>79271</v>
      </c>
      <c r="M33" s="212">
        <v>79271</v>
      </c>
      <c r="N33" s="181"/>
      <c r="O33" s="179">
        <v>54</v>
      </c>
      <c r="P33" s="215">
        <v>998145</v>
      </c>
      <c r="Q33" s="216">
        <v>998145</v>
      </c>
      <c r="R33" s="216">
        <v>998145</v>
      </c>
      <c r="S33" s="216">
        <v>998145</v>
      </c>
      <c r="T33" s="217">
        <v>998145</v>
      </c>
      <c r="AG33" s="180"/>
    </row>
    <row r="34" spans="1:33" ht="16">
      <c r="A34" s="184">
        <v>55</v>
      </c>
      <c r="B34" s="208">
        <v>1072800</v>
      </c>
      <c r="C34" s="209">
        <v>1072800</v>
      </c>
      <c r="D34" s="209">
        <v>1072800</v>
      </c>
      <c r="E34" s="209">
        <v>1072800</v>
      </c>
      <c r="F34" s="210">
        <v>1072800</v>
      </c>
      <c r="G34" s="178"/>
      <c r="H34" s="179">
        <v>55</v>
      </c>
      <c r="I34" s="213">
        <v>89400</v>
      </c>
      <c r="J34" s="214">
        <v>89400</v>
      </c>
      <c r="K34" s="214">
        <v>89400</v>
      </c>
      <c r="L34" s="214">
        <v>89400</v>
      </c>
      <c r="M34" s="214">
        <v>89400</v>
      </c>
      <c r="N34" s="181"/>
      <c r="O34" s="179">
        <v>55</v>
      </c>
      <c r="P34" s="218">
        <v>1119693</v>
      </c>
      <c r="Q34" s="219">
        <v>1119693</v>
      </c>
      <c r="R34" s="219">
        <v>1119693</v>
      </c>
      <c r="S34" s="219">
        <v>1119693</v>
      </c>
      <c r="T34" s="220">
        <v>1119693</v>
      </c>
      <c r="AG34" s="180"/>
    </row>
    <row r="35" spans="1:33" ht="16">
      <c r="A35" s="186" t="s">
        <v>13</v>
      </c>
      <c r="B35" s="208">
        <v>1209098</v>
      </c>
      <c r="C35" s="209">
        <v>1209098</v>
      </c>
      <c r="D35" s="209">
        <v>1209098</v>
      </c>
      <c r="E35" s="209">
        <v>1209098</v>
      </c>
      <c r="F35" s="210">
        <v>1209098</v>
      </c>
      <c r="G35" s="178"/>
      <c r="H35" s="187" t="s">
        <v>13</v>
      </c>
      <c r="I35" s="213">
        <v>100758.16666666667</v>
      </c>
      <c r="J35" s="214">
        <v>100758.16666666667</v>
      </c>
      <c r="K35" s="214">
        <v>100758.16666666667</v>
      </c>
      <c r="L35" s="214">
        <v>100758.16666666667</v>
      </c>
      <c r="M35" s="214">
        <v>100758.16666666667</v>
      </c>
      <c r="N35" s="181"/>
      <c r="O35" s="188" t="s">
        <v>13</v>
      </c>
      <c r="P35" s="218">
        <v>1255994</v>
      </c>
      <c r="Q35" s="219">
        <v>1255994</v>
      </c>
      <c r="R35" s="219">
        <v>1255994</v>
      </c>
      <c r="S35" s="219">
        <v>1255994</v>
      </c>
      <c r="T35" s="220">
        <v>1255994</v>
      </c>
      <c r="AG35" s="180"/>
    </row>
    <row r="36" spans="1:33">
      <c r="A36" s="1"/>
      <c r="B36" s="1"/>
      <c r="C36" s="1"/>
      <c r="D36" s="1"/>
      <c r="E36" s="1"/>
      <c r="F36" s="1"/>
      <c r="G36" s="1"/>
      <c r="H36" s="1"/>
      <c r="I36" s="1"/>
      <c r="J36" s="1"/>
      <c r="K36" s="1"/>
      <c r="L36" s="1"/>
      <c r="M36" s="1"/>
      <c r="N36" s="1"/>
      <c r="O36" s="1"/>
      <c r="P36" s="1"/>
      <c r="Q36" s="1"/>
      <c r="R36" s="1"/>
    </row>
    <row r="37" spans="1:33">
      <c r="A37" s="1"/>
      <c r="B37" s="189" t="s">
        <v>14</v>
      </c>
      <c r="C37" s="331">
        <v>1.602921</v>
      </c>
      <c r="D37" s="1"/>
      <c r="E37" s="600" t="s">
        <v>251</v>
      </c>
      <c r="F37" s="600"/>
      <c r="G37" s="190">
        <v>54</v>
      </c>
      <c r="H37" s="1"/>
      <c r="I37" s="1"/>
      <c r="J37" s="1"/>
      <c r="K37" s="1"/>
      <c r="L37" s="1"/>
      <c r="M37" s="1"/>
      <c r="N37" s="1"/>
      <c r="O37" s="1"/>
      <c r="P37" s="1"/>
      <c r="Q37" s="1"/>
      <c r="R37" s="1"/>
    </row>
    <row r="38" spans="1:33">
      <c r="A38" s="1"/>
      <c r="B38" s="189" t="s">
        <v>15</v>
      </c>
      <c r="C38" s="189">
        <v>16.75</v>
      </c>
      <c r="D38" s="1"/>
      <c r="E38" s="601" t="s">
        <v>252</v>
      </c>
      <c r="F38" s="601"/>
      <c r="G38" s="189">
        <v>5.82</v>
      </c>
      <c r="H38" s="1"/>
      <c r="I38" s="1"/>
      <c r="J38" s="1"/>
      <c r="K38" s="1"/>
      <c r="L38" s="1"/>
      <c r="M38" s="1"/>
      <c r="N38" s="1"/>
      <c r="O38" s="1"/>
      <c r="P38" s="1"/>
      <c r="Q38" s="1"/>
      <c r="R38" s="1"/>
    </row>
    <row r="39" spans="1:33">
      <c r="A39" s="1"/>
      <c r="B39" s="189" t="s">
        <v>16</v>
      </c>
      <c r="C39" s="189">
        <v>19.52</v>
      </c>
      <c r="D39" s="1"/>
      <c r="E39" s="600" t="s">
        <v>253</v>
      </c>
      <c r="F39" s="600"/>
      <c r="G39" s="189">
        <v>127.33</v>
      </c>
      <c r="H39" s="1"/>
      <c r="I39" s="1"/>
      <c r="J39" s="1"/>
      <c r="K39" s="1"/>
      <c r="L39" s="1"/>
      <c r="M39" s="1"/>
      <c r="N39" s="1"/>
      <c r="O39" s="1"/>
      <c r="P39" s="1"/>
      <c r="Q39" s="1"/>
      <c r="R39" s="1"/>
    </row>
    <row r="40" spans="1:33">
      <c r="A40" s="1"/>
      <c r="B40" s="189" t="s">
        <v>167</v>
      </c>
      <c r="C40" s="189">
        <v>2.23</v>
      </c>
      <c r="D40" s="1"/>
      <c r="E40" s="189" t="s">
        <v>254</v>
      </c>
      <c r="F40" s="189"/>
      <c r="G40" s="190">
        <v>289.62</v>
      </c>
      <c r="H40" s="1"/>
      <c r="I40" s="1"/>
      <c r="J40" s="331">
        <v>1.602921</v>
      </c>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596" t="s">
        <v>161</v>
      </c>
      <c r="B43" s="596"/>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596" t="s">
        <v>162</v>
      </c>
      <c r="B52" s="596"/>
    </row>
    <row r="53" spans="1:2">
      <c r="A53" t="s">
        <v>133</v>
      </c>
      <c r="B53" s="191" t="str">
        <f>Musikskoleledere!C4</f>
        <v>Allerød</v>
      </c>
    </row>
    <row r="54" spans="1:2">
      <c r="A54" t="s">
        <v>163</v>
      </c>
      <c r="B54" s="191">
        <f>VLOOKUP(Musikskoleledere!C4,'Skoler, stedtillæg'!A1:B98,2,FALSE)</f>
        <v>3</v>
      </c>
    </row>
    <row r="55" spans="1:2">
      <c r="A55" t="s">
        <v>148</v>
      </c>
      <c r="B55" s="191">
        <f>Musikskoleledere!C6</f>
        <v>51</v>
      </c>
    </row>
    <row r="56" spans="1:2">
      <c r="A56" t="s">
        <v>154</v>
      </c>
      <c r="B56" s="191">
        <v>3600</v>
      </c>
    </row>
    <row r="57" spans="1:2">
      <c r="B57" s="191"/>
    </row>
    <row r="58" spans="1:2">
      <c r="B58" s="191"/>
    </row>
    <row r="59" spans="1:2">
      <c r="A59" t="s">
        <v>160</v>
      </c>
      <c r="B59" s="191" cm="1">
        <f t="array" ref="B59">_xlfn.XLOOKUP(B54,B6:F6,_xlfn.XLOOKUP(B55,A7:A35,B7:F35))</f>
        <v>680462</v>
      </c>
    </row>
    <row r="60" spans="1:2">
      <c r="A60" t="s">
        <v>166</v>
      </c>
      <c r="B60" cm="1">
        <f t="array" ref="B60">_xlfn.XLOOKUP(B54,P6:T6,_xlfn.XLOOKUP(B55,O7:O35,P7:T35))</f>
        <v>698779</v>
      </c>
    </row>
    <row r="62" spans="1:2">
      <c r="B62" t="s">
        <v>151</v>
      </c>
    </row>
    <row r="63" spans="1:2">
      <c r="B63" t="s">
        <v>152</v>
      </c>
    </row>
    <row r="1048576" spans="27:28">
      <c r="AA1048576" s="1"/>
      <c r="AB1048576" s="189"/>
    </row>
  </sheetData>
  <mergeCells count="13">
    <mergeCell ref="A2:C2"/>
    <mergeCell ref="I4:M4"/>
    <mergeCell ref="I5:M5"/>
    <mergeCell ref="B4:F4"/>
    <mergeCell ref="B5:F5"/>
    <mergeCell ref="AC4:AE4"/>
    <mergeCell ref="A43:B43"/>
    <mergeCell ref="A52:B52"/>
    <mergeCell ref="P4:T4"/>
    <mergeCell ref="P5:T5"/>
    <mergeCell ref="E37:F37"/>
    <mergeCell ref="E39:F39"/>
    <mergeCell ref="E38:F3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7784-AC9A-4B4D-B4B9-0BDBC37FF8D2}">
  <dimension ref="A1:H11"/>
  <sheetViews>
    <sheetView zoomScale="160" zoomScaleNormal="160" workbookViewId="0">
      <selection activeCell="F9" sqref="F9"/>
    </sheetView>
  </sheetViews>
  <sheetFormatPr baseColWidth="10" defaultRowHeight="15"/>
  <cols>
    <col min="2" max="2" width="13.6640625" bestFit="1" customWidth="1"/>
    <col min="3" max="5" width="13.6640625" customWidth="1"/>
    <col min="6" max="6" width="12.5" bestFit="1" customWidth="1"/>
    <col min="7" max="7" width="11.5" bestFit="1" customWidth="1"/>
  </cols>
  <sheetData>
    <row r="1" spans="1:8">
      <c r="B1" t="s">
        <v>18</v>
      </c>
      <c r="C1" t="s">
        <v>304</v>
      </c>
      <c r="F1" t="s">
        <v>182</v>
      </c>
      <c r="G1" t="s">
        <v>183</v>
      </c>
      <c r="H1" t="s">
        <v>278</v>
      </c>
    </row>
    <row r="2" spans="1:8">
      <c r="B2">
        <v>37</v>
      </c>
      <c r="D2">
        <v>18.5</v>
      </c>
      <c r="F2">
        <v>37</v>
      </c>
    </row>
    <row r="3" spans="1:8">
      <c r="A3" t="s">
        <v>137</v>
      </c>
      <c r="C3">
        <v>51</v>
      </c>
      <c r="D3" s="11">
        <f>F3*D2/37</f>
        <v>340231</v>
      </c>
      <c r="F3" s="11">
        <f>'Aktuelle data'!F30</f>
        <v>680462</v>
      </c>
      <c r="G3" s="11">
        <f>F3/12</f>
        <v>56705.166666666664</v>
      </c>
    </row>
    <row r="4" spans="1:8">
      <c r="A4" t="s">
        <v>154</v>
      </c>
      <c r="C4">
        <v>1500</v>
      </c>
      <c r="D4" s="11">
        <f>C4*'Aktuelle data'!C37*'Manuelle tjek'!D2/37</f>
        <v>1202.19075</v>
      </c>
      <c r="E4" s="11"/>
      <c r="F4" s="11">
        <f>C4*'Aktuelle data'!C37*F2/37</f>
        <v>2404.3815</v>
      </c>
      <c r="G4" s="11">
        <f t="shared" ref="G4:G6" si="0">F4/12</f>
        <v>200.36512500000001</v>
      </c>
    </row>
    <row r="5" spans="1:8">
      <c r="A5" t="s">
        <v>339</v>
      </c>
      <c r="C5">
        <v>1500</v>
      </c>
      <c r="D5" s="11">
        <f>C5*'Aktuelle data'!C37*D2/37</f>
        <v>1202.19075</v>
      </c>
      <c r="F5" s="11">
        <f>C5*'Aktuelle data'!C37*'Manuelle tjek'!F2/37</f>
        <v>2404.3815</v>
      </c>
      <c r="G5" s="11">
        <f t="shared" si="0"/>
        <v>200.36512500000001</v>
      </c>
    </row>
    <row r="6" spans="1:8">
      <c r="A6" t="s">
        <v>340</v>
      </c>
      <c r="C6">
        <v>1500</v>
      </c>
      <c r="D6" s="11">
        <f>C6*'Aktuelle data'!C37</f>
        <v>2404.3815</v>
      </c>
      <c r="F6" s="11">
        <f>C6*'Aktuelle data'!C37</f>
        <v>2404.3815</v>
      </c>
      <c r="G6" s="11">
        <f t="shared" si="0"/>
        <v>200.36512500000001</v>
      </c>
    </row>
    <row r="7" spans="1:8">
      <c r="D7" s="11"/>
      <c r="F7" s="11"/>
      <c r="G7" s="11"/>
    </row>
    <row r="8" spans="1:8">
      <c r="A8" t="s">
        <v>315</v>
      </c>
      <c r="D8" s="11">
        <f>SUM(D2:D7)</f>
        <v>345058.26300000004</v>
      </c>
      <c r="F8" s="11">
        <f>SUM(F3:F7)</f>
        <v>687675.14450000005</v>
      </c>
    </row>
    <row r="9" spans="1:8">
      <c r="A9" t="s">
        <v>278</v>
      </c>
      <c r="D9" s="11"/>
      <c r="F9">
        <f>B237</f>
        <v>0</v>
      </c>
    </row>
    <row r="10" spans="1:8">
      <c r="D10" s="11"/>
    </row>
    <row r="11" spans="1:8">
      <c r="D11"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59CEF2-72C5-42A8-A102-91549755E3DF}">
  <ds:schemaRefs>
    <ds:schemaRef ds:uri="3413c4e7-c6fe-47f6-b16c-704119fa4fe4"/>
    <ds:schemaRef ds:uri="http://www.w3.org/XML/1998/namespace"/>
    <ds:schemaRef ds:uri="http://schemas.microsoft.com/office/2006/metadata/properties"/>
    <ds:schemaRef ds:uri="http://schemas.microsoft.com/office/infopath/2007/PartnerControls"/>
    <ds:schemaRef ds:uri="757a9596-9e5e-45d3-ae4c-05baa65b7273"/>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30C9A29A-2E88-4315-B286-2692287F88A1}"/>
</file>

<file path=customXml/itemProps3.xml><?xml version="1.0" encoding="utf-8"?>
<ds:datastoreItem xmlns:ds="http://schemas.openxmlformats.org/officeDocument/2006/customXml" ds:itemID="{E00C9170-A13E-4B49-B341-3D19AAB27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8</vt:i4>
      </vt:variant>
    </vt:vector>
  </HeadingPairs>
  <TitlesOfParts>
    <vt:vector size="8" baseType="lpstr">
      <vt:lpstr>Musikskolelærere</vt:lpstr>
      <vt:lpstr>Regneopgaver Modul C</vt:lpstr>
      <vt:lpstr>Musikskoleledere</vt:lpstr>
      <vt:lpstr>Aktuel løntabel, lærere</vt:lpstr>
      <vt:lpstr>Aktuel løntabel, ledere</vt:lpstr>
      <vt:lpstr>Aktuelle data</vt:lpstr>
      <vt:lpstr>Manuelle tjek</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2025-03-28T12:02:04Z</cp:lastPrinted>
  <dcterms:created xsi:type="dcterms:W3CDTF">2019-12-10T13:23:03Z</dcterms:created>
  <dcterms:modified xsi:type="dcterms:W3CDTF">2025-09-03T12:05:17Z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