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https://dmpf98.sharepoint.com/fagbladet MUSIKSKOLEN/Hjemmesiden_MUSIKEROGMUSIKUNDERVISER/Vores nye opslagsværk/Lønseddeltjek 2025/"/>
    </mc:Choice>
  </mc:AlternateContent>
  <xr:revisionPtr revIDLastSave="278" documentId="8_{1639D227-B58E-9745-A671-BDB7CC32076E}" xr6:coauthVersionLast="47" xr6:coauthVersionMax="47" xr10:uidLastSave="{3462FD5A-D586-A844-9995-C7B5F8D93F82}"/>
  <workbookProtection workbookAlgorithmName="SHA-512" workbookHashValue="mv6frnHEwKok0GElejUBqrzIsXO/PxC9azSq6VoIfj34zH5/LXLbetw74IDsaYaEwSX4y0V7Ykn3vTiVD3RS6w==" workbookSaltValue="Mve/M9GinlDQtyShr6wA4w==" workbookSpinCount="100000" lockStructure="1"/>
  <bookViews>
    <workbookView xWindow="0" yWindow="760" windowWidth="34560" windowHeight="20240" tabRatio="706" xr2:uid="{B55F606D-0E9C-430D-BA0E-224558F42BE5}"/>
  </bookViews>
  <sheets>
    <sheet name="Musikskolelærere" sheetId="5" r:id="rId1"/>
    <sheet name="Regneopgaver Modul C" sheetId="10" state="hidden" r:id="rId2"/>
    <sheet name="Musikskoleledere_mellemledere" sheetId="6" state="hidden" r:id="rId3"/>
    <sheet name="Aktuel løntabel" sheetId="9" state="hidden" r:id="rId4"/>
    <sheet name="Aktuelle data" sheetId="3" state="hidden" r:id="rId5"/>
    <sheet name="Skoler, stedtillæg"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6" l="1"/>
  <c r="C17" i="6"/>
  <c r="C496" i="9"/>
  <c r="C495" i="9"/>
  <c r="C26" i="10"/>
  <c r="B24" i="10"/>
  <c r="E20" i="10"/>
  <c r="B25" i="10" s="1"/>
  <c r="D20" i="10"/>
  <c r="B20" i="10"/>
  <c r="E19" i="10"/>
  <c r="E18" i="10"/>
  <c r="B26" i="10" l="1"/>
  <c r="D26" i="10" s="1"/>
  <c r="E26" i="10" s="1"/>
  <c r="F20" i="10"/>
  <c r="E31" i="5" a="1"/>
  <c r="E31" i="5" s="1"/>
  <c r="E25" i="6" a="1"/>
  <c r="E25" i="6" s="1"/>
  <c r="AN6" i="3"/>
  <c r="AN7" i="3"/>
  <c r="AN8" i="3"/>
  <c r="AN5" i="3"/>
  <c r="C19" i="6"/>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L89" i="9"/>
  <c r="L90" i="9"/>
  <c r="L91" i="9"/>
  <c r="L92" i="9"/>
  <c r="L93" i="9"/>
  <c r="L94" i="9"/>
  <c r="L95" i="9"/>
  <c r="L68" i="9"/>
  <c r="L69" i="9"/>
  <c r="L70" i="9"/>
  <c r="L71" i="9"/>
  <c r="L72" i="9"/>
  <c r="L73" i="9"/>
  <c r="L74" i="9"/>
  <c r="L75" i="9"/>
  <c r="L76" i="9"/>
  <c r="L77" i="9"/>
  <c r="L78" i="9"/>
  <c r="L79" i="9"/>
  <c r="L80" i="9"/>
  <c r="L81" i="9"/>
  <c r="L82" i="9"/>
  <c r="L83" i="9"/>
  <c r="L84" i="9"/>
  <c r="L85" i="9"/>
  <c r="L86" i="9"/>
  <c r="L87" i="9"/>
  <c r="L88" i="9"/>
  <c r="J89" i="9"/>
  <c r="J90" i="9"/>
  <c r="J91" i="9"/>
  <c r="J92" i="9"/>
  <c r="J93" i="9"/>
  <c r="J94" i="9"/>
  <c r="J95" i="9"/>
  <c r="J68" i="9"/>
  <c r="J69" i="9"/>
  <c r="J70" i="9"/>
  <c r="J71" i="9"/>
  <c r="J72" i="9"/>
  <c r="J73" i="9"/>
  <c r="J74" i="9"/>
  <c r="J75" i="9"/>
  <c r="J76" i="9"/>
  <c r="J77" i="9"/>
  <c r="J78" i="9"/>
  <c r="J79" i="9"/>
  <c r="J80" i="9"/>
  <c r="J81" i="9"/>
  <c r="J82" i="9"/>
  <c r="J83" i="9"/>
  <c r="J84" i="9"/>
  <c r="J85" i="9"/>
  <c r="J86" i="9"/>
  <c r="J87" i="9"/>
  <c r="J88" i="9"/>
  <c r="H83" i="9"/>
  <c r="H84" i="9"/>
  <c r="H85" i="9"/>
  <c r="H86" i="9"/>
  <c r="H87" i="9"/>
  <c r="H88" i="9"/>
  <c r="H89" i="9"/>
  <c r="H90" i="9"/>
  <c r="H91" i="9"/>
  <c r="H92" i="9"/>
  <c r="H93" i="9"/>
  <c r="H94" i="9"/>
  <c r="H95" i="9"/>
  <c r="H68" i="9"/>
  <c r="H69" i="9"/>
  <c r="H70" i="9"/>
  <c r="H71" i="9"/>
  <c r="H72" i="9"/>
  <c r="H73" i="9"/>
  <c r="H74" i="9"/>
  <c r="H75" i="9"/>
  <c r="H76" i="9"/>
  <c r="H77" i="9"/>
  <c r="H78" i="9"/>
  <c r="H79" i="9"/>
  <c r="H80" i="9"/>
  <c r="H81" i="9"/>
  <c r="H82"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D82" i="9"/>
  <c r="D83" i="9"/>
  <c r="D84" i="9"/>
  <c r="D85" i="9"/>
  <c r="D86" i="9"/>
  <c r="D87" i="9"/>
  <c r="D88" i="9"/>
  <c r="D89" i="9"/>
  <c r="D90" i="9"/>
  <c r="D91" i="9"/>
  <c r="D92" i="9"/>
  <c r="D93" i="9"/>
  <c r="D94" i="9"/>
  <c r="D95" i="9"/>
  <c r="D68" i="9"/>
  <c r="D69" i="9"/>
  <c r="D70" i="9"/>
  <c r="D71" i="9"/>
  <c r="D72" i="9"/>
  <c r="D73" i="9"/>
  <c r="D74" i="9"/>
  <c r="D75" i="9"/>
  <c r="D76" i="9"/>
  <c r="D77" i="9"/>
  <c r="D78" i="9"/>
  <c r="D79" i="9"/>
  <c r="D80" i="9"/>
  <c r="D81"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D6" i="9"/>
  <c r="D5" i="9"/>
  <c r="D7" i="9"/>
  <c r="D8" i="9"/>
  <c r="D9" i="9"/>
  <c r="D10" i="9"/>
  <c r="D11" i="9"/>
  <c r="D12" i="9"/>
  <c r="D13" i="9"/>
  <c r="D14" i="9"/>
  <c r="D15" i="9"/>
  <c r="D16" i="9"/>
  <c r="D17" i="9"/>
  <c r="D18" i="9"/>
  <c r="D19" i="9"/>
  <c r="D20" i="9"/>
  <c r="D21" i="9"/>
  <c r="D22" i="9"/>
  <c r="D23" i="9"/>
  <c r="D24" i="9"/>
  <c r="D25" i="9"/>
  <c r="D26" i="9"/>
  <c r="D27" i="9"/>
  <c r="D28" i="9"/>
  <c r="D29" i="9"/>
  <c r="D30" i="9"/>
  <c r="D31" i="9"/>
  <c r="D32"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63" i="9"/>
  <c r="L164" i="9" s="1"/>
  <c r="L502" i="9"/>
  <c r="L503" i="9"/>
  <c r="L504" i="9"/>
  <c r="L501" i="9"/>
  <c r="J502" i="9"/>
  <c r="J503" i="9"/>
  <c r="J504" i="9"/>
  <c r="J501" i="9"/>
  <c r="G502" i="9"/>
  <c r="G503" i="9"/>
  <c r="G504" i="9"/>
  <c r="G501" i="9"/>
  <c r="A36" i="10" l="1"/>
  <c r="G20" i="10"/>
  <c r="W8" i="3"/>
  <c r="Y8" i="3" s="1"/>
  <c r="Z8" i="3" s="1"/>
  <c r="D373" i="9"/>
  <c r="AE9" i="3"/>
  <c r="F373" i="9" s="1"/>
  <c r="AF9" i="3"/>
  <c r="H373" i="9" s="1"/>
  <c r="AF11" i="3"/>
  <c r="H375" i="9" s="1"/>
  <c r="D375" i="9"/>
  <c r="AE11" i="3"/>
  <c r="F375" i="9" s="1"/>
  <c r="AF10" i="3"/>
  <c r="H374" i="9" s="1"/>
  <c r="D374" i="9"/>
  <c r="AE10" i="3"/>
  <c r="F374" i="9" s="1"/>
  <c r="D268" i="9"/>
  <c r="X12" i="3"/>
  <c r="Y12" i="3"/>
  <c r="Z12" i="3" s="1"/>
  <c r="D263" i="9"/>
  <c r="X7" i="3"/>
  <c r="Y7" i="3"/>
  <c r="Z7" i="3" s="1"/>
  <c r="W11" i="3"/>
  <c r="D372" i="9"/>
  <c r="W10" i="3"/>
  <c r="AF8" i="3"/>
  <c r="H372" i="9" s="1"/>
  <c r="W9" i="3"/>
  <c r="AD12" i="3"/>
  <c r="D264" i="9"/>
  <c r="AD7" i="3"/>
  <c r="AE8" i="3"/>
  <c r="F372" i="9" s="1"/>
  <c r="L335" i="9"/>
  <c r="L488" i="9"/>
  <c r="L486" i="9"/>
  <c r="L484" i="9"/>
  <c r="L483" i="9"/>
  <c r="L445" i="9"/>
  <c r="H445" i="9"/>
  <c r="F445" i="9"/>
  <c r="C444" i="9"/>
  <c r="L444" i="9"/>
  <c r="F444" i="9"/>
  <c r="L439" i="9"/>
  <c r="L433" i="9"/>
  <c r="H433" i="9"/>
  <c r="L432" i="9"/>
  <c r="J369" i="9"/>
  <c r="L365" i="9"/>
  <c r="X8" i="3" l="1"/>
  <c r="AG11" i="3"/>
  <c r="J375" i="9" s="1"/>
  <c r="AG10" i="3"/>
  <c r="J374" i="9" s="1"/>
  <c r="X11" i="3"/>
  <c r="Y11" i="3"/>
  <c r="Z11" i="3" s="1"/>
  <c r="D267" i="9"/>
  <c r="AF7" i="3"/>
  <c r="H371" i="9" s="1"/>
  <c r="AE7" i="3"/>
  <c r="AF12" i="3"/>
  <c r="H376" i="9" s="1"/>
  <c r="D376" i="9"/>
  <c r="AE12" i="3"/>
  <c r="F376" i="9" s="1"/>
  <c r="AG9" i="3"/>
  <c r="J373" i="9" s="1"/>
  <c r="X9" i="3"/>
  <c r="Y9" i="3"/>
  <c r="Z9" i="3" s="1"/>
  <c r="D265" i="9"/>
  <c r="Y10" i="3"/>
  <c r="Z10" i="3" s="1"/>
  <c r="X10" i="3"/>
  <c r="D266" i="9"/>
  <c r="AG8" i="3"/>
  <c r="J372" i="9" s="1"/>
  <c r="L446" i="9"/>
  <c r="L447" i="9" s="1"/>
  <c r="L434" i="9"/>
  <c r="L435" i="9" s="1"/>
  <c r="L341" i="9"/>
  <c r="L343" i="9"/>
  <c r="H343" i="9"/>
  <c r="F343" i="9"/>
  <c r="F342" i="9"/>
  <c r="H342" i="9"/>
  <c r="C342" i="9"/>
  <c r="F328" i="9"/>
  <c r="F327" i="9"/>
  <c r="D327" i="9"/>
  <c r="L328" i="9"/>
  <c r="L327" i="9"/>
  <c r="L326" i="9"/>
  <c r="D326" i="9"/>
  <c r="F341" i="9"/>
  <c r="C341" i="9"/>
  <c r="J261"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57" i="9"/>
  <c r="L35" i="9"/>
  <c r="L36" i="9" s="1"/>
  <c r="L98" i="9"/>
  <c r="L99" i="9" s="1"/>
  <c r="C16" i="6"/>
  <c r="E16" i="6" s="1"/>
  <c r="B55" i="3"/>
  <c r="B46" i="3"/>
  <c r="F34" i="5"/>
  <c r="E19" i="6"/>
  <c r="E28" i="6"/>
  <c r="E27" i="6"/>
  <c r="F33" i="5"/>
  <c r="B47" i="3"/>
  <c r="B53" i="3"/>
  <c r="B54" i="3"/>
  <c r="E36" i="6"/>
  <c r="E19" i="5"/>
  <c r="AD18" i="3" l="1"/>
  <c r="W18" i="3"/>
  <c r="AG7" i="3"/>
  <c r="J371"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76" i="9" s="1"/>
  <c r="F371" i="9"/>
  <c r="D371" i="9"/>
  <c r="L344" i="9"/>
  <c r="L345" i="9" s="1"/>
  <c r="L329" i="9"/>
  <c r="L330" i="9" s="1"/>
  <c r="B59" i="3" a="1"/>
  <c r="B59" i="3" s="1"/>
  <c r="C15" i="6" s="1"/>
  <c r="C20" i="6" s="1"/>
  <c r="B45" i="3"/>
  <c r="E17" i="6"/>
  <c r="B60" i="3" a="1"/>
  <c r="B60" i="3" s="1"/>
  <c r="B50" i="3" a="1"/>
  <c r="B50" i="3" s="1"/>
  <c r="B49" i="3" a="1"/>
  <c r="B49" i="3" s="1"/>
  <c r="E18" i="6"/>
  <c r="F19" i="5"/>
  <c r="E48" i="5"/>
  <c r="E51" i="5"/>
  <c r="E21" i="5" s="1"/>
  <c r="F21" i="5" s="1"/>
  <c r="E50" i="5" l="1"/>
  <c r="E36" i="5"/>
  <c r="E37" i="5" s="1"/>
  <c r="Y14" i="3"/>
  <c r="D270" i="9"/>
  <c r="Z14" i="3"/>
  <c r="X14" i="3"/>
  <c r="D276" i="9"/>
  <c r="X20" i="3"/>
  <c r="F276" i="9" s="1"/>
  <c r="Y20" i="3"/>
  <c r="Z20" i="3" s="1"/>
  <c r="X27" i="3"/>
  <c r="F283" i="9" s="1"/>
  <c r="Y27" i="3"/>
  <c r="H283" i="9" s="1"/>
  <c r="D283" i="9"/>
  <c r="D389" i="9"/>
  <c r="AE25" i="3"/>
  <c r="F389" i="9" s="1"/>
  <c r="AF25" i="3"/>
  <c r="H389" i="9" s="1"/>
  <c r="AE21" i="3"/>
  <c r="F385" i="9" s="1"/>
  <c r="AF21" i="3"/>
  <c r="H385" i="9" s="1"/>
  <c r="D385" i="9"/>
  <c r="AE23" i="3"/>
  <c r="F387" i="9" s="1"/>
  <c r="AF23" i="3"/>
  <c r="H387" i="9" s="1"/>
  <c r="D387" i="9"/>
  <c r="AF27" i="3"/>
  <c r="H391" i="9" s="1"/>
  <c r="D391" i="9"/>
  <c r="AE27" i="3"/>
  <c r="F391" i="9" s="1"/>
  <c r="AE14" i="3"/>
  <c r="F378" i="9" s="1"/>
  <c r="AF14" i="3"/>
  <c r="H378" i="9" s="1"/>
  <c r="D378" i="9"/>
  <c r="AF20" i="3"/>
  <c r="H384" i="9" s="1"/>
  <c r="D384" i="9"/>
  <c r="AE20" i="3"/>
  <c r="F384" i="9" s="1"/>
  <c r="D381" i="9"/>
  <c r="AE17" i="3"/>
  <c r="F381" i="9" s="1"/>
  <c r="AF17" i="3"/>
  <c r="H381" i="9" s="1"/>
  <c r="AE15" i="3"/>
  <c r="F379" i="9" s="1"/>
  <c r="AF15" i="3"/>
  <c r="H379" i="9" s="1"/>
  <c r="D379" i="9"/>
  <c r="AF19" i="3"/>
  <c r="H383" i="9" s="1"/>
  <c r="D383" i="9"/>
  <c r="AE19" i="3"/>
  <c r="F383" i="9" s="1"/>
  <c r="Y16" i="3"/>
  <c r="Z16" i="3" s="1"/>
  <c r="D272" i="9"/>
  <c r="X16" i="3"/>
  <c r="X25" i="3"/>
  <c r="F281" i="9" s="1"/>
  <c r="Y25" i="3"/>
  <c r="Z25" i="3" s="1"/>
  <c r="D281" i="9"/>
  <c r="Y23" i="3"/>
  <c r="H279" i="9" s="1"/>
  <c r="D279" i="9"/>
  <c r="X23" i="3"/>
  <c r="X17" i="3"/>
  <c r="F273" i="9" s="1"/>
  <c r="Y17" i="3"/>
  <c r="H273" i="9" s="1"/>
  <c r="D273" i="9"/>
  <c r="X26" i="3"/>
  <c r="F282" i="9" s="1"/>
  <c r="Y26" i="3"/>
  <c r="H282" i="9" s="1"/>
  <c r="D282" i="9"/>
  <c r="Y15" i="3"/>
  <c r="Z15" i="3" s="1"/>
  <c r="D271" i="9"/>
  <c r="X15" i="3"/>
  <c r="F271" i="9" s="1"/>
  <c r="X19" i="3"/>
  <c r="F275" i="9" s="1"/>
  <c r="Y19" i="3"/>
  <c r="Z19" i="3" s="1"/>
  <c r="D275" i="9"/>
  <c r="AE22" i="3"/>
  <c r="F386" i="9" s="1"/>
  <c r="AF22" i="3"/>
  <c r="H386" i="9" s="1"/>
  <c r="D386" i="9"/>
  <c r="AE13" i="3"/>
  <c r="F377" i="9" s="1"/>
  <c r="AF13" i="3"/>
  <c r="H377" i="9" s="1"/>
  <c r="D377" i="9"/>
  <c r="AE16" i="3"/>
  <c r="F380" i="9" s="1"/>
  <c r="AF16" i="3"/>
  <c r="H380" i="9" s="1"/>
  <c r="D380" i="9"/>
  <c r="D277" i="9"/>
  <c r="X21" i="3"/>
  <c r="F277" i="9" s="1"/>
  <c r="Y21" i="3"/>
  <c r="H277" i="9" s="1"/>
  <c r="AF26" i="3"/>
  <c r="H390" i="9" s="1"/>
  <c r="D390" i="9"/>
  <c r="AE26" i="3"/>
  <c r="F390" i="9" s="1"/>
  <c r="AE24" i="3"/>
  <c r="F388" i="9" s="1"/>
  <c r="AF24" i="3"/>
  <c r="H388" i="9" s="1"/>
  <c r="D388" i="9"/>
  <c r="Y22" i="3"/>
  <c r="Z22" i="3" s="1"/>
  <c r="D278" i="9"/>
  <c r="X22" i="3"/>
  <c r="Y24" i="3"/>
  <c r="D280" i="9"/>
  <c r="Z24" i="3"/>
  <c r="X24" i="3"/>
  <c r="F280" i="9" s="1"/>
  <c r="D269" i="9"/>
  <c r="X13" i="3"/>
  <c r="F269" i="9" s="1"/>
  <c r="Y13" i="3"/>
  <c r="H269" i="9" s="1"/>
  <c r="X18" i="3"/>
  <c r="Y18" i="3"/>
  <c r="Z18" i="3" s="1"/>
  <c r="D274" i="9"/>
  <c r="AF18" i="3"/>
  <c r="H382" i="9" s="1"/>
  <c r="D382" i="9"/>
  <c r="AE18" i="3"/>
  <c r="F382" i="9" s="1"/>
  <c r="E15" i="6"/>
  <c r="E21" i="6" s="1"/>
  <c r="F264" i="9"/>
  <c r="H275" i="9"/>
  <c r="H274" i="9"/>
  <c r="F274" i="9"/>
  <c r="H264" i="9"/>
  <c r="F263" i="9"/>
  <c r="H263" i="9"/>
  <c r="F279" i="9"/>
  <c r="H266" i="9"/>
  <c r="F266" i="9"/>
  <c r="F272" i="9"/>
  <c r="H280" i="9"/>
  <c r="F265" i="9"/>
  <c r="H265" i="9"/>
  <c r="H267" i="9"/>
  <c r="F267" i="9"/>
  <c r="F270" i="9"/>
  <c r="H270" i="9"/>
  <c r="F278" i="9"/>
  <c r="H268" i="9"/>
  <c r="F268" i="9"/>
  <c r="C23" i="6"/>
  <c r="E18" i="5"/>
  <c r="E20" i="5"/>
  <c r="E29" i="5" s="1"/>
  <c r="Z13" i="3" l="1"/>
  <c r="Z26" i="3"/>
  <c r="Z23" i="3"/>
  <c r="AG20" i="3"/>
  <c r="J384" i="9" s="1"/>
  <c r="H272" i="9"/>
  <c r="H276" i="9"/>
  <c r="H271" i="9"/>
  <c r="AG16" i="3"/>
  <c r="J380" i="9" s="1"/>
  <c r="AG22" i="3"/>
  <c r="J386" i="9" s="1"/>
  <c r="AG23" i="3"/>
  <c r="J387" i="9" s="1"/>
  <c r="AG13" i="3"/>
  <c r="J377" i="9" s="1"/>
  <c r="AG17" i="3"/>
  <c r="J381" i="9" s="1"/>
  <c r="AG21" i="3"/>
  <c r="J385" i="9" s="1"/>
  <c r="H281" i="9"/>
  <c r="E38" i="5"/>
  <c r="E39" i="5"/>
  <c r="F24" i="5"/>
  <c r="AG25" i="3"/>
  <c r="J389" i="9" s="1"/>
  <c r="H278" i="9"/>
  <c r="AG14" i="3"/>
  <c r="J378" i="9" s="1"/>
  <c r="Z21" i="3"/>
  <c r="J277" i="9" s="1"/>
  <c r="AG24" i="3"/>
  <c r="J388" i="9" s="1"/>
  <c r="AG15" i="3"/>
  <c r="J379" i="9" s="1"/>
  <c r="Z17" i="3"/>
  <c r="AG18" i="3"/>
  <c r="J382" i="9" s="1"/>
  <c r="AG26" i="3"/>
  <c r="J390" i="9" s="1"/>
  <c r="AG19" i="3"/>
  <c r="J383" i="9" s="1"/>
  <c r="AG27" i="3"/>
  <c r="J391" i="9" s="1"/>
  <c r="Z27" i="3"/>
  <c r="J283" i="9" s="1"/>
  <c r="J282" i="9"/>
  <c r="J274" i="9"/>
  <c r="J275" i="9"/>
  <c r="J268" i="9"/>
  <c r="J264" i="9"/>
  <c r="J280" i="9"/>
  <c r="J267" i="9"/>
  <c r="J266" i="9"/>
  <c r="J279" i="9"/>
  <c r="J265" i="9"/>
  <c r="J263" i="9"/>
  <c r="J278" i="9"/>
  <c r="J269" i="9"/>
  <c r="J272" i="9"/>
  <c r="J270" i="9"/>
  <c r="J271" i="9"/>
  <c r="J276" i="9"/>
  <c r="J281" i="9"/>
  <c r="J273" i="9"/>
  <c r="E26" i="5"/>
  <c r="F20" i="5"/>
  <c r="E23" i="6"/>
  <c r="E49" i="5"/>
  <c r="F26" i="5" l="1"/>
  <c r="F31" i="5"/>
  <c r="E20" i="6"/>
  <c r="F22" i="5" l="1"/>
  <c r="F23" i="5"/>
  <c r="F29" i="5" s="1"/>
  <c r="F18" i="5" l="1"/>
  <c r="F2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<sst xmlns="http://schemas.openxmlformats.org/spreadsheetml/2006/main" count="549" uniqueCount="339">
  <si>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</si>
  <si>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</si>
  <si>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</si>
  <si>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</si>
  <si>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</si>
  <si>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</si>
  <si>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</si>
  <si>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</si>
  <si>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</si>
  <si>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</si>
  <si>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</si>
  <si>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</si>
  <si>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</si>
  <si>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</si>
  <si>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</si>
  <si>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</si>
  <si>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</si>
  <si>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Timer/måned</t>
  </si>
  <si>
    <t>Ansættelsesgrad</t>
  </si>
  <si>
    <t>Lønmodtagerandel</t>
  </si>
  <si>
    <t>Arbejdsgiverandel</t>
  </si>
  <si>
    <t>I alt pr. måned</t>
  </si>
  <si>
    <t>Tillæg til grundlønnen pr. år</t>
  </si>
  <si>
    <t>Min. 117 timer/md.</t>
  </si>
  <si>
    <t>Min. 27/37</t>
  </si>
  <si>
    <t>Funktionstillæg</t>
  </si>
  <si>
    <t>78 - 116 timer/md.</t>
  </si>
  <si>
    <t>18/37 til 26,99/37</t>
  </si>
  <si>
    <t>39 - 77 timer/md.</t>
  </si>
  <si>
    <t>9/37 til 17,99/37</t>
  </si>
  <si>
    <t>Under 39 timer/md.</t>
  </si>
  <si>
    <t>Under 9/37</t>
  </si>
  <si>
    <t>Årsløn trin 50 (gruppe 3)</t>
  </si>
  <si>
    <t>Årsløn i alt</t>
  </si>
  <si>
    <t>Månedsløn i alt</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</si>
  <si>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</si>
  <si>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</si>
  <si>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</si>
  <si>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</si>
  <si>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</si>
  <si>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</si>
  <si>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</si>
  <si>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</si>
  <si>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</si>
  <si>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</si>
  <si>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</si>
  <si>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</si>
  <si>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</si>
  <si>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</si>
  <si>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</si>
  <si>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</si>
  <si>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</si>
  <si>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</si>
  <si>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</si>
  <si>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</si>
  <si>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</si>
  <si>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</si>
  <si>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</si>
  <si>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</si>
  <si>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</si>
  <si>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</si>
  <si>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</si>
  <si>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</si>
  <si>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</si>
  <si>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</si>
  <si>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</si>
  <si>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</si>
  <si>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</si>
  <si>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</si>
  <si>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</si>
  <si>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</si>
  <si>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</si>
  <si>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</si>
  <si>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</si>
  <si>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</si>
  <si>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</si>
  <si>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</si>
  <si>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</si>
  <si>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</si>
  <si>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</si>
  <si>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</si>
  <si>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</si>
  <si>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</si>
  <si>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</si>
  <si>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</si>
  <si>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</si>
  <si>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</si>
  <si>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</si>
  <si>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</si>
  <si>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</si>
  <si>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</si>
  <si>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</si>
  <si>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</si>
  <si>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</si>
  <si>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</si>
  <si>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</si>
  <si>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</si>
  <si>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</si>
  <si>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</si>
  <si>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</si>
  <si>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</si>
  <si>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</si>
  <si>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</si>
  <si>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</si>
  <si>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</si>
  <si>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</si>
  <si>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</si>
  <si>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</si>
  <si>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</si>
  <si>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</si>
  <si>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</si>
  <si>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</si>
  <si>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</si>
  <si>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</si>
  <si>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</si>
  <si>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</si>
  <si>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</si>
  <si>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</si>
  <si>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</si>
  <si>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</si>
  <si>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</si>
  <si>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</si>
  <si>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</si>
  <si>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</si>
  <si>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</si>
  <si>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</si>
  <si>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</si>
  <si>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</si>
  <si>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</si>
  <si>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</si>
  <si>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</si>
  <si>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</si>
  <si>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</si>
  <si>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</si>
  <si>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</si>
  <si>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</si>
  <si>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</si>
  <si>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</si>
  <si>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</si>
  <si>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</si>
  <si>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</si>
  <si>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</si>
  <si>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</si>
  <si>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</si>
  <si>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</si>
  <si>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</si>
  <si>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</si>
  <si>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</si>
  <si>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</si>
  <si>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</si>
  <si>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</si>
  <si>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</si>
  <si>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</si>
  <si>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</si>
  <si>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</si>
  <si>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</si>
  <si>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</si>
  <si>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</si>
  <si>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</si>
  <si>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</si>
  <si>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</si>
  <si>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</si>
  <si>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</si>
  <si>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</si>
  <si>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</si>
  <si>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</si>
  <si>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</si>
  <si>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</si>
  <si>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</si>
  <si>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</si>
  <si>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</si>
  <si>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</si>
  <si>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</si>
  <si>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</si>
  <si>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</si>
  <si>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</si>
  <si>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</si>
  <si>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</si>
  <si>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</si>
  <si>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</si>
  <si>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</si>
  <si>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</si>
  <si>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</si>
  <si>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</si>
  <si>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</si>
  <si>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</si>
  <si>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</si>
  <si>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</si>
  <si>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</si>
  <si>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</si>
  <si>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</si>
  <si>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</si>
  <si>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</si>
  <si>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</si>
  <si>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</si>
  <si>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</si>
  <si>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</si>
  <si>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</si>
  <si>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</si>
  <si>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</si>
  <si>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</si>
  <si>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</si>
  <si>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</si>
  <si>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</si>
  <si>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</si>
  <si>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</si>
  <si>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</si>
  <si>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</si>
  <si>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</si>
  <si>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</si>
  <si>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</si>
  <si>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</si>
  <si>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</si>
  <si>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</si>
  <si>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</si>
  <si>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</si>
  <si>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</si>
  <si>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</si>
  <si>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</si>
  <si>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</si>
  <si>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</si>
  <si>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</si>
  <si>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</si>
  <si>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</si>
  <si>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</si>
  <si>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</si>
  <si>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</si>
  <si>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</si>
  <si>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</si>
  <si>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</si>
  <si>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</si>
  <si>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</si>
  <si>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</si>
  <si>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</si>
  <si>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</si>
  <si>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</si>
  <si>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</si>
  <si>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</si>
  <si>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</si>
  <si>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</si>
  <si>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</si>
  <si>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</si>
  <si>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</si>
  <si>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</si>
  <si>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</si>
  <si>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</si>
  <si>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</si>
  <si>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</si>
  <si>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</si>
  <si>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</si>
  <si>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</si>
  <si>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</si>
  <si>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</si>
  <si>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</si>
  <si>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</si>
  <si>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</si>
  <si>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</si>
  <si>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</si>
  <si>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</si>
  <si>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</si>
  <si>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</si>
  <si>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</si>
  <si>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</si>
  <si>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</si>
  <si>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</si>
  <si>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</si>
  <si>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</si>
  <si>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</si>
  <si>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</si>
  <si>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</si>
  <si>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</si>
  <si>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</si>
  <si>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</si>
  <si>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</si>
  <si>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</si>
  <si>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</si>
  <si>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</si>
  <si>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</si>
  <si>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</si>
  <si>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 xml:space="preserve"> kr. pr. km</t>
  </si>
  <si>
    <t>Årsgrundlag</t>
  </si>
  <si>
    <t>Timeløn (lønfradrag)</t>
  </si>
  <si>
    <t>Under 39 timer/måned</t>
  </si>
  <si>
    <t>39 til &lt;78 timer/måned</t>
  </si>
  <si>
    <t>78 - &lt;117 timer/md.</t>
  </si>
  <si>
    <t>9/37-17,99/37</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</si>
  <si>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</si>
  <si>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</si>
  <si>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</si>
  <si>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</si>
  <si>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</si>
  <si>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</si>
  <si>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</si>
  <si>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</si>
  <si>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</si>
  <si>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</si>
  <si>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</si>
  <si>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</si>
  <si>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</si>
  <si>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</si>
  <si>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</si>
  <si>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</si>
  <si>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</si>
  <si>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</si>
  <si>
    <t>1/10 2024</t>
  </si>
  <si>
    <t>Nordfyn</t>
  </si>
  <si>
    <t>Løn</t>
  </si>
  <si>
    <t>Pension</t>
  </si>
  <si>
    <t>Årsløn (trin 35, sted 4)</t>
  </si>
  <si>
    <t>Pens.-givende årsløn</t>
  </si>
  <si>
    <t>Tillæg</t>
  </si>
  <si>
    <t>Særlig feriegodtgørelse</t>
  </si>
  <si>
    <t>Løn, Troels Tidevand</t>
  </si>
  <si>
    <t>Trin</t>
  </si>
  <si>
    <t>Vædi af trin/år</t>
  </si>
  <si>
    <t>Tillæg i grundniveau</t>
  </si>
  <si>
    <t>Værdi af tillæg/år</t>
  </si>
  <si>
    <t>Årsløn</t>
  </si>
  <si>
    <t>Grundløn</t>
  </si>
  <si>
    <t>Garantiløn (K)</t>
  </si>
  <si>
    <t>Tillæg iht. forhåndsaftale (F)</t>
  </si>
  <si>
    <t>Grundlønstillæg (reduceres ift. ansættelsesgraden)</t>
  </si>
  <si>
    <t>Kronetillæg, flere fag (red. ift. ansættelsesgraden)</t>
  </si>
  <si>
    <t>I alt</t>
  </si>
  <si>
    <t>Pension, Troels Tidevand</t>
  </si>
  <si>
    <t>Pensions-%</t>
  </si>
  <si>
    <t>Pension/år</t>
  </si>
  <si>
    <t>Pension/måned</t>
  </si>
  <si>
    <t xml:space="preserve">Kronetillæg </t>
  </si>
  <si>
    <t>Pensionsgivende løn i alt</t>
  </si>
  <si>
    <t>Værdi af særlig feriegodtgørelse</t>
  </si>
  <si>
    <t>Værdi af særlig feriegodtgørelse, ferietillæg og forhøjet ferietillæg</t>
  </si>
  <si>
    <t>Årlig udgift, sammenlagt:</t>
  </si>
  <si>
    <t>Lønseddeltjek, musik- og kulturskolelærere fra d. 1. april 2025 til d. 30. september 2025</t>
  </si>
  <si>
    <t>Lønseddeltjek, musikskoleledere/-mellemledere fra d. 1. april 2025 til d. 30. september 2025</t>
  </si>
  <si>
    <t>p</t>
  </si>
  <si>
    <t xml:space="preserve">Pension </t>
  </si>
  <si>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</si>
  <si>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Ulempegodtgørelse pr.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</si>
</sst>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8" formatCode="#,##0.00\ &quot;kr.&quot;;[Red]\-#,##0.00\ &quot;kr.&quot;"/>
    <numFmt numFmtId="44" formatCode="_-* #,##0.00\ &quot;kr.&quot;_-;\-* #,##0.00\ &quot;kr.&quot;_-;_-* &quot;-&quot;??\ &quot;kr.&quot;_-;_-@_-"/>
    <numFmt numFmtId="43" formatCode="_-* #,##0.00_-;\-* #,##0.00_-;_-* &quot;-&quot;??_-;_-@_-"/>
    <numFmt numFmtId="164" formatCode="#,##0.00\ &quot;kr.&quot;"/>
    <numFmt numFmtId="165" formatCode="0.000000"/>
    <numFmt numFmtId="166" formatCode="#,##0.000000"/>
    <numFmt numFmtId="167" formatCode="#,##0.000000;\-#,##0.000000"/>
    <numFmt numFmtId="168" formatCode="_-* #,##0_-;\-* #,##0_-;_-* &quot;-&quot;??_-;_-@_-"/>
    <numFmt numFmtId="169" formatCode="_-* #,##0.00\ [$kr.-406]_-;\-* #,##0.00\ [$kr.-406]_-;_-* &quot;-&quot;??\ [$kr.-406]_-;_-@_-"/>
  </numFmts>
  <fonts count="68">
    <font>
      <sz val="11"/>
      <color theme="1"/>
      <name val="Calibri"/>
      <family val="2"/>
      <scheme val="minor"/>
    </font>
    <font>
      <sz val="12"/>
      <name val="TimesNewRomanPS"/>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name val="Times New Roman"/>
      <family val="1"/>
    </font>
    <font>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
      <sz val="11"/>
      <color theme="1"/>
      <name val="Calibri"/>
      <family val="2"/>
    </font>
    <font>
      <b/>
      <sz val="11"/>
      <color rgb="FFFFFFFF"/>
      <name val="Calibri"/>
      <family val="2"/>
    </font>
    <font>
      <b/>
      <sz val="11"/>
      <color rgb="FFBC0515"/>
      <name val="Calibri"/>
      <family val="2"/>
      <scheme val="minor"/>
    </font>
    <font>
      <sz val="11"/>
      <color rgb="FF000000"/>
      <name val="Calibri"/>
      <family val="2"/>
    </font>
    <font>
      <b/>
      <sz val="11"/>
      <color rgb="FFBC0515"/>
      <name val="Calibri"/>
      <family val="2"/>
    </font>
    <font>
      <b/>
      <sz val="11"/>
      <color rgb="FF000000"/>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
      <patternFill patternType="solid">
        <fgColor theme="2" tint="-0.749992370372631"/>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593">
    <xf numFmtId="0" fontId="0" fillId="0" borderId="0" xfId="0"/>
    <xf numFmtId="4" fontId="0" fillId="0" borderId="0" xfId="0" applyNumberFormat="1"/>
    <xf numFmtId="0" fontId="0" fillId="0" borderId="0" xfId="0" applyAlignment="1">
      <alignment wrapText="1"/>
    </xf>
    <xf numFmtId="0" fontId="9" fillId="6" borderId="25" xfId="0" applyFont="1" applyFill="1" applyBorder="1" applyAlignment="1">
      <alignment vertical="center" wrapText="1"/>
    </xf>
    <xf numFmtId="0" fontId="9" fillId="6" borderId="26" xfId="0" applyFont="1" applyFill="1" applyBorder="1" applyAlignment="1">
      <alignment horizontal="center" vertical="center" wrapText="1"/>
    </xf>
    <xf numFmtId="0" fontId="9" fillId="6" borderId="26" xfId="0" applyFont="1" applyFill="1" applyBorder="1" applyAlignment="1">
      <alignment vertical="center" wrapText="1"/>
    </xf>
    <xf numFmtId="0" fontId="9" fillId="0" borderId="26" xfId="0" applyFont="1" applyBorder="1" applyAlignment="1">
      <alignment vertical="center"/>
    </xf>
    <xf numFmtId="0" fontId="8" fillId="0" borderId="0" xfId="0" applyFont="1" applyAlignment="1">
      <alignment vertical="center"/>
    </xf>
    <xf numFmtId="0" fontId="9" fillId="0" borderId="26" xfId="0" applyFont="1" applyBorder="1" applyAlignment="1">
      <alignment horizontal="center" vertical="center"/>
    </xf>
    <xf numFmtId="0" fontId="9" fillId="6" borderId="25" xfId="0" applyFont="1" applyFill="1" applyBorder="1" applyAlignment="1">
      <alignment vertical="center"/>
    </xf>
    <xf numFmtId="0" fontId="9" fillId="6" borderId="26" xfId="0" applyFont="1" applyFill="1" applyBorder="1" applyAlignment="1">
      <alignment vertical="center"/>
    </xf>
    <xf numFmtId="164" fontId="0" fillId="0" borderId="0" xfId="0" applyNumberFormat="1"/>
    <xf numFmtId="0" fontId="15" fillId="0" borderId="0" xfId="0" applyFont="1" applyAlignment="1">
      <alignment horizontal="center"/>
    </xf>
    <xf numFmtId="0" fontId="16" fillId="0" borderId="0" xfId="0" applyFont="1"/>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2" fontId="10" fillId="0" borderId="0" xfId="0" applyNumberFormat="1" applyFont="1" applyAlignment="1">
      <alignment horizontal="center"/>
    </xf>
    <xf numFmtId="165" fontId="10" fillId="0" borderId="0" xfId="0" applyNumberFormat="1" applyFont="1" applyAlignment="1">
      <alignment horizontal="center"/>
    </xf>
    <xf numFmtId="0" fontId="2" fillId="0" borderId="0" xfId="0" applyFont="1"/>
    <xf numFmtId="0" fontId="13" fillId="0" borderId="0" xfId="0" applyFont="1"/>
    <xf numFmtId="0" fontId="11" fillId="0" borderId="0" xfId="0" applyFont="1" applyAlignment="1">
      <alignment horizontal="center"/>
    </xf>
    <xf numFmtId="0" fontId="0" fillId="0" borderId="7" xfId="0" applyBorder="1"/>
    <xf numFmtId="0" fontId="19" fillId="0" borderId="0" xfId="1" applyFill="1" applyAlignment="1">
      <alignment wrapText="1"/>
    </xf>
    <xf numFmtId="0" fontId="12" fillId="0" borderId="0" xfId="0" applyFont="1" applyAlignment="1">
      <alignment horizontal="left" wrapText="1"/>
    </xf>
    <xf numFmtId="0" fontId="4" fillId="0" borderId="0" xfId="0" applyFont="1"/>
    <xf numFmtId="0" fontId="0" fillId="0" borderId="14" xfId="0" applyBorder="1"/>
    <xf numFmtId="0" fontId="6" fillId="0" borderId="0" xfId="0" applyFont="1" applyAlignment="1">
      <alignment vertical="center" wrapText="1"/>
    </xf>
    <xf numFmtId="0" fontId="3" fillId="0" borderId="0" xfId="0" applyFont="1"/>
    <xf numFmtId="0" fontId="20" fillId="0" borderId="0" xfId="0" applyFont="1" applyAlignment="1">
      <alignment horizontal="left" vertical="center" indent="5"/>
    </xf>
    <xf numFmtId="0" fontId="13"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xf>
    <xf numFmtId="0" fontId="0" fillId="0" borderId="0" xfId="0" applyAlignment="1">
      <alignment horizontal="center"/>
    </xf>
    <xf numFmtId="0" fontId="0" fillId="0" borderId="53" xfId="0" applyBorder="1"/>
    <xf numFmtId="0" fontId="12" fillId="0" borderId="0" xfId="0" applyFont="1" applyAlignment="1">
      <alignment horizontal="center" vertical="center"/>
    </xf>
    <xf numFmtId="0" fontId="26" fillId="6" borderId="18" xfId="0" applyFont="1" applyFill="1" applyBorder="1" applyAlignment="1">
      <alignment vertical="center" wrapText="1"/>
    </xf>
    <xf numFmtId="0" fontId="26" fillId="6" borderId="19" xfId="0" applyFont="1" applyFill="1" applyBorder="1" applyAlignment="1">
      <alignment horizontal="center" vertical="center" wrapText="1"/>
    </xf>
    <xf numFmtId="0" fontId="26" fillId="6" borderId="19" xfId="0" applyFont="1" applyFill="1" applyBorder="1" applyAlignment="1">
      <alignment horizontal="left" vertical="center" wrapText="1"/>
    </xf>
    <xf numFmtId="0" fontId="26" fillId="6" borderId="12" xfId="0" applyFont="1" applyFill="1" applyBorder="1" applyAlignment="1">
      <alignment horizontal="center" vertical="center" wrapText="1"/>
    </xf>
    <xf numFmtId="0" fontId="0" fillId="6" borderId="0" xfId="0" applyFill="1" applyAlignment="1">
      <alignment vertical="center" wrapText="1"/>
    </xf>
    <xf numFmtId="0" fontId="26" fillId="0" borderId="12" xfId="0" applyFont="1" applyBorder="1" applyAlignment="1">
      <alignment horizontal="left" vertical="center"/>
    </xf>
    <xf numFmtId="0" fontId="27" fillId="0" borderId="0" xfId="0" applyFont="1" applyAlignment="1">
      <alignment vertical="center"/>
    </xf>
    <xf numFmtId="0" fontId="26" fillId="6" borderId="10" xfId="0" applyFont="1" applyFill="1" applyBorder="1" applyAlignment="1">
      <alignment vertical="center" wrapText="1"/>
    </xf>
    <xf numFmtId="0" fontId="26" fillId="6" borderId="0" xfId="0" applyFont="1" applyFill="1" applyAlignment="1">
      <alignment vertical="center" wrapText="1"/>
    </xf>
    <xf numFmtId="0" fontId="26" fillId="6" borderId="0" xfId="0" applyFont="1" applyFill="1" applyAlignment="1">
      <alignment horizontal="center" vertical="center" wrapText="1"/>
    </xf>
    <xf numFmtId="0" fontId="0" fillId="0" borderId="0" xfId="0" applyAlignment="1">
      <alignment vertical="center" wrapText="1"/>
    </xf>
    <xf numFmtId="0" fontId="13" fillId="0" borderId="0" xfId="0" applyFont="1" applyAlignment="1">
      <alignment horizontal="left" vertical="center" indent="9"/>
    </xf>
    <xf numFmtId="4" fontId="0" fillId="0" borderId="26" xfId="0" applyNumberFormat="1" applyBorder="1" applyAlignment="1">
      <alignment horizontal="right" vertical="center"/>
    </xf>
    <xf numFmtId="0" fontId="13" fillId="0" borderId="0" xfId="0" applyFont="1" applyAlignment="1">
      <alignment horizontal="left" vertical="center" indent="5"/>
    </xf>
    <xf numFmtId="0" fontId="3" fillId="0" borderId="0" xfId="0" applyFont="1" applyAlignment="1">
      <alignment vertical="center"/>
    </xf>
    <xf numFmtId="0" fontId="3" fillId="0" borderId="42" xfId="0" applyFont="1" applyBorder="1" applyAlignment="1">
      <alignment vertical="center"/>
    </xf>
    <xf numFmtId="0" fontId="0" fillId="0" borderId="30" xfId="0" applyBorder="1"/>
    <xf numFmtId="0" fontId="0" fillId="0" borderId="31" xfId="0" applyBorder="1"/>
    <xf numFmtId="0" fontId="0" fillId="0" borderId="13" xfId="0" applyBorder="1" applyAlignment="1">
      <alignment vertical="center"/>
    </xf>
    <xf numFmtId="0" fontId="0" fillId="0" borderId="53" xfId="0"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xf numFmtId="0" fontId="22"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 fillId="0" borderId="0" xfId="0" applyFont="1" applyAlignment="1">
      <alignment vertical="center" wrapText="1"/>
    </xf>
    <xf numFmtId="8" fontId="3" fillId="0" borderId="26" xfId="0" applyNumberFormat="1" applyFont="1" applyBorder="1" applyAlignment="1">
      <alignment horizontal="right" vertical="center" wrapText="1"/>
    </xf>
    <xf numFmtId="0" fontId="0" fillId="0" borderId="32" xfId="0" applyBorder="1" applyAlignment="1">
      <alignment horizontal="center" vertical="center"/>
    </xf>
    <xf numFmtId="0" fontId="0" fillId="0" borderId="6" xfId="0" applyBorder="1"/>
    <xf numFmtId="0" fontId="0" fillId="0" borderId="0" xfId="0" applyAlignment="1">
      <alignment horizontal="center" vertical="center" wrapText="1"/>
    </xf>
    <xf numFmtId="8" fontId="3" fillId="0" borderId="0" xfId="0" applyNumberFormat="1" applyFont="1" applyAlignment="1">
      <alignment horizontal="right" vertical="center" wrapText="1"/>
    </xf>
    <xf numFmtId="8" fontId="3" fillId="0" borderId="53" xfId="0" applyNumberFormat="1" applyFont="1" applyBorder="1" applyAlignment="1">
      <alignment horizontal="center" vertical="center" wrapText="1"/>
    </xf>
    <xf numFmtId="8" fontId="3" fillId="0" borderId="53" xfId="0" applyNumberFormat="1" applyFont="1" applyBorder="1" applyAlignment="1">
      <alignment horizontal="right" vertical="center" wrapText="1"/>
    </xf>
    <xf numFmtId="0" fontId="20" fillId="0" borderId="0" xfId="0" applyFont="1" applyAlignment="1">
      <alignment vertical="center"/>
    </xf>
    <xf numFmtId="0" fontId="0" fillId="0" borderId="0" xfId="0" applyAlignment="1">
      <alignment horizontal="left" vertical="center" indent="5"/>
    </xf>
    <xf numFmtId="0" fontId="29" fillId="9" borderId="6" xfId="0" applyFont="1" applyFill="1" applyBorder="1" applyAlignment="1">
      <alignment horizontal="center" vertical="center" wrapText="1"/>
    </xf>
    <xf numFmtId="0" fontId="34" fillId="0" borderId="0" xfId="0" applyFont="1" applyAlignment="1">
      <alignment horizontal="center" vertical="center"/>
    </xf>
    <xf numFmtId="0" fontId="0" fillId="0" borderId="23" xfId="0" applyBorder="1"/>
    <xf numFmtId="4" fontId="0" fillId="0" borderId="32" xfId="0" applyNumberFormat="1" applyBorder="1" applyAlignment="1">
      <alignment horizontal="center" vertical="center"/>
    </xf>
    <xf numFmtId="166" fontId="0" fillId="0" borderId="32" xfId="0" applyNumberFormat="1" applyBorder="1" applyAlignment="1">
      <alignment horizontal="center" vertical="center"/>
    </xf>
    <xf numFmtId="4" fontId="0" fillId="3" borderId="47" xfId="0" applyNumberFormat="1" applyFill="1" applyBorder="1" applyAlignment="1">
      <alignment horizontal="center" vertical="center"/>
    </xf>
    <xf numFmtId="4" fontId="0" fillId="0" borderId="47" xfId="0" applyNumberFormat="1" applyBorder="1" applyAlignment="1">
      <alignment horizontal="center" vertical="center"/>
    </xf>
    <xf numFmtId="0" fontId="0" fillId="0" borderId="47" xfId="0" applyBorder="1" applyAlignment="1">
      <alignment horizontal="center" vertical="center"/>
    </xf>
    <xf numFmtId="3" fontId="0" fillId="0" borderId="47" xfId="0" applyNumberFormat="1" applyBorder="1" applyAlignment="1">
      <alignment horizontal="center" vertical="center"/>
    </xf>
    <xf numFmtId="8" fontId="0" fillId="0" borderId="52" xfId="0" applyNumberFormat="1" applyBorder="1" applyAlignment="1">
      <alignment horizontal="right" vertical="center" wrapText="1"/>
    </xf>
    <xf numFmtId="164" fontId="0" fillId="0" borderId="52" xfId="0" applyNumberFormat="1" applyBorder="1" applyAlignment="1">
      <alignment horizontal="right" vertical="center" wrapText="1"/>
    </xf>
    <xf numFmtId="8" fontId="3" fillId="0" borderId="52" xfId="0" applyNumberFormat="1" applyFont="1" applyBorder="1" applyAlignment="1">
      <alignment horizontal="right" vertical="center" wrapText="1"/>
    </xf>
    <xf numFmtId="0" fontId="0" fillId="0" borderId="53" xfId="0" applyBorder="1" applyAlignment="1">
      <alignment horizontal="center" vertical="center" wrapText="1"/>
    </xf>
    <xf numFmtId="164" fontId="0" fillId="0" borderId="57" xfId="0" applyNumberFormat="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xf>
    <xf numFmtId="4" fontId="2" fillId="0" borderId="58" xfId="0" applyNumberFormat="1" applyFont="1" applyBorder="1" applyAlignment="1">
      <alignment vertical="center"/>
    </xf>
    <xf numFmtId="4" fontId="27" fillId="0" borderId="58" xfId="0" applyNumberFormat="1" applyFont="1" applyBorder="1" applyAlignment="1">
      <alignment horizontal="right" vertical="center"/>
    </xf>
    <xf numFmtId="4" fontId="0" fillId="0" borderId="53" xfId="0" applyNumberFormat="1" applyBorder="1" applyAlignment="1">
      <alignment horizontal="right" vertical="center"/>
    </xf>
    <xf numFmtId="4" fontId="0" fillId="0" borderId="59" xfId="0" applyNumberFormat="1" applyBorder="1" applyAlignment="1">
      <alignment horizontal="right" vertical="center"/>
    </xf>
    <xf numFmtId="0" fontId="34" fillId="0" borderId="0" xfId="0" applyFont="1" applyAlignment="1">
      <alignment vertical="center"/>
    </xf>
    <xf numFmtId="0" fontId="34" fillId="0" borderId="0" xfId="0" applyFont="1" applyAlignment="1">
      <alignment horizontal="left"/>
    </xf>
    <xf numFmtId="4" fontId="0" fillId="0" borderId="62" xfId="0" applyNumberFormat="1" applyBorder="1" applyAlignment="1">
      <alignment horizontal="right" vertical="center"/>
    </xf>
    <xf numFmtId="0" fontId="0" fillId="0" borderId="62" xfId="0" applyBorder="1"/>
    <xf numFmtId="0" fontId="26" fillId="6" borderId="0" xfId="0" applyFont="1" applyFill="1" applyAlignment="1">
      <alignment horizontal="left" vertical="center" wrapText="1"/>
    </xf>
    <xf numFmtId="0" fontId="26" fillId="6" borderId="6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8" fontId="6" fillId="0" borderId="0" xfId="0" applyNumberFormat="1" applyFont="1" applyAlignment="1">
      <alignment horizontal="right" vertical="center" wrapText="1"/>
    </xf>
    <xf numFmtId="0" fontId="8" fillId="0" borderId="0" xfId="0" applyFont="1" applyAlignment="1">
      <alignment horizontal="center" vertical="center" wrapText="1"/>
    </xf>
    <xf numFmtId="8" fontId="8" fillId="0" borderId="0" xfId="0" applyNumberFormat="1" applyFont="1" applyAlignment="1">
      <alignment horizontal="right" vertical="center" wrapText="1"/>
    </xf>
    <xf numFmtId="0" fontId="36" fillId="0" borderId="0" xfId="0" applyFont="1" applyAlignment="1">
      <alignment vertical="center" wrapText="1"/>
    </xf>
    <xf numFmtId="8" fontId="36" fillId="0" borderId="0" xfId="0" applyNumberFormat="1" applyFont="1" applyAlignment="1">
      <alignment horizontal="right" vertical="center" wrapText="1"/>
    </xf>
    <xf numFmtId="164" fontId="3" fillId="0" borderId="26" xfId="0" applyNumberFormat="1" applyFont="1" applyBorder="1"/>
    <xf numFmtId="0" fontId="0" fillId="0" borderId="47" xfId="0" applyBorder="1"/>
    <xf numFmtId="4" fontId="0" fillId="0" borderId="47" xfId="0" applyNumberFormat="1" applyBorder="1"/>
    <xf numFmtId="0" fontId="0" fillId="0" borderId="47" xfId="0" applyBorder="1" applyAlignment="1">
      <alignment horizontal="center"/>
    </xf>
    <xf numFmtId="164" fontId="0" fillId="0" borderId="57" xfId="0" applyNumberFormat="1" applyBorder="1"/>
    <xf numFmtId="4" fontId="0" fillId="0" borderId="32" xfId="0" applyNumberFormat="1" applyBorder="1"/>
    <xf numFmtId="0" fontId="0" fillId="0" borderId="32" xfId="0" applyBorder="1" applyAlignment="1">
      <alignment horizontal="center"/>
    </xf>
    <xf numFmtId="164" fontId="0" fillId="0" borderId="52" xfId="0" applyNumberFormat="1" applyBorder="1"/>
    <xf numFmtId="164" fontId="3" fillId="0" borderId="52" xfId="0" applyNumberFormat="1" applyFont="1" applyBorder="1"/>
    <xf numFmtId="0" fontId="0" fillId="0" borderId="20" xfId="0" applyBorder="1" applyAlignment="1">
      <alignment horizontal="right"/>
    </xf>
    <xf numFmtId="0" fontId="0" fillId="0" borderId="15" xfId="0" applyBorder="1"/>
    <xf numFmtId="164" fontId="0" fillId="0" borderId="14" xfId="0" applyNumberFormat="1" applyBorder="1" applyAlignment="1">
      <alignment horizontal="right"/>
    </xf>
    <xf numFmtId="4" fontId="3" fillId="0" borderId="0" xfId="0" applyNumberFormat="1" applyFont="1" applyAlignment="1">
      <alignment vertical="center" wrapText="1"/>
    </xf>
    <xf numFmtId="0" fontId="0" fillId="0" borderId="27" xfId="0" applyBorder="1" applyAlignment="1">
      <alignment horizontal="right" vertical="center" wrapText="1"/>
    </xf>
    <xf numFmtId="8" fontId="0" fillId="0" borderId="15" xfId="0" applyNumberFormat="1" applyBorder="1" applyAlignment="1">
      <alignment horizontal="right" vertical="center" wrapText="1"/>
    </xf>
    <xf numFmtId="8" fontId="0" fillId="0" borderId="60" xfId="0" applyNumberFormat="1" applyBorder="1" applyAlignment="1">
      <alignment horizontal="right" vertical="center" wrapText="1"/>
    </xf>
    <xf numFmtId="8" fontId="0" fillId="0" borderId="60" xfId="0" applyNumberFormat="1" applyBorder="1" applyAlignment="1">
      <alignment vertical="center" wrapText="1"/>
    </xf>
    <xf numFmtId="0" fontId="0" fillId="0" borderId="26" xfId="0" applyBorder="1" applyAlignment="1">
      <alignment horizontal="right" vertical="center" wrapText="1"/>
    </xf>
    <xf numFmtId="0" fontId="0" fillId="0" borderId="11" xfId="0" applyBorder="1"/>
    <xf numFmtId="8" fontId="39" fillId="3" borderId="19" xfId="0" applyNumberFormat="1" applyFont="1" applyFill="1" applyBorder="1" applyAlignment="1">
      <alignment vertical="center"/>
    </xf>
    <xf numFmtId="0" fontId="39" fillId="3" borderId="18" xfId="0" applyFont="1" applyFill="1" applyBorder="1" applyAlignment="1">
      <alignment vertical="center"/>
    </xf>
    <xf numFmtId="0" fontId="39" fillId="3" borderId="10" xfId="0" applyFont="1" applyFill="1" applyBorder="1" applyAlignment="1">
      <alignment vertical="center"/>
    </xf>
    <xf numFmtId="8" fontId="39" fillId="3" borderId="12" xfId="0" applyNumberFormat="1" applyFont="1" applyFill="1" applyBorder="1" applyAlignment="1">
      <alignment vertical="center"/>
    </xf>
    <xf numFmtId="0" fontId="28" fillId="0" borderId="0" xfId="0" applyFont="1" applyAlignment="1">
      <alignment horizontal="center" vertical="center"/>
    </xf>
    <xf numFmtId="4" fontId="0" fillId="0" borderId="18" xfId="0" applyNumberFormat="1" applyBorder="1" applyAlignment="1">
      <alignment vertical="center"/>
    </xf>
    <xf numFmtId="4" fontId="27" fillId="0" borderId="6" xfId="0" applyNumberFormat="1" applyFont="1" applyBorder="1" applyAlignment="1">
      <alignment horizontal="right" vertical="center"/>
    </xf>
    <xf numFmtId="4" fontId="27" fillId="0" borderId="28" xfId="0" applyNumberFormat="1" applyFont="1" applyBorder="1" applyAlignment="1">
      <alignment horizontal="right" vertical="center"/>
    </xf>
    <xf numFmtId="4" fontId="27" fillId="0" borderId="52" xfId="0" applyNumberFormat="1" applyFont="1" applyBorder="1" applyAlignment="1">
      <alignment horizontal="right" vertical="center"/>
    </xf>
    <xf numFmtId="4" fontId="27" fillId="0" borderId="18" xfId="0" applyNumberFormat="1" applyFont="1" applyBorder="1" applyAlignment="1">
      <alignment vertical="center"/>
    </xf>
    <xf numFmtId="4" fontId="0" fillId="0" borderId="67" xfId="0" applyNumberFormat="1" applyBorder="1" applyAlignment="1">
      <alignment horizontal="right" vertical="center"/>
    </xf>
    <xf numFmtId="4" fontId="0" fillId="0" borderId="23" xfId="0" applyNumberFormat="1" applyBorder="1"/>
    <xf numFmtId="4" fontId="0" fillId="0" borderId="22" xfId="0" applyNumberFormat="1" applyBorder="1" applyAlignment="1">
      <alignment horizontal="right" vertical="center"/>
    </xf>
    <xf numFmtId="4" fontId="0" fillId="0" borderId="24" xfId="0" applyNumberFormat="1" applyBorder="1" applyAlignment="1">
      <alignment horizontal="right" vertical="center"/>
    </xf>
    <xf numFmtId="4" fontId="0" fillId="0" borderId="23" xfId="0" applyNumberFormat="1" applyBorder="1" applyAlignment="1">
      <alignment horizontal="right" vertical="center"/>
    </xf>
    <xf numFmtId="4" fontId="0" fillId="0" borderId="63" xfId="0" applyNumberFormat="1" applyBorder="1" applyAlignment="1">
      <alignment horizontal="right" vertical="center"/>
    </xf>
    <xf numFmtId="4" fontId="2" fillId="0" borderId="18"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32" xfId="0" applyNumberFormat="1" applyBorder="1" applyAlignment="1">
      <alignment horizontal="right" vertical="center"/>
    </xf>
    <xf numFmtId="4" fontId="0" fillId="0" borderId="52" xfId="0" applyNumberFormat="1" applyBorder="1" applyAlignment="1">
      <alignment horizontal="right" vertical="center"/>
    </xf>
    <xf numFmtId="4" fontId="0" fillId="0" borderId="51" xfId="0" applyNumberFormat="1" applyBorder="1" applyAlignment="1">
      <alignment horizontal="right" vertical="center"/>
    </xf>
    <xf numFmtId="4" fontId="0" fillId="0" borderId="18" xfId="0" applyNumberFormat="1" applyBorder="1" applyAlignment="1">
      <alignment horizontal="right" vertical="center"/>
    </xf>
    <xf numFmtId="4" fontId="27" fillId="0" borderId="18" xfId="0" applyNumberFormat="1" applyFont="1" applyBorder="1" applyAlignment="1">
      <alignment horizontal="right" vertical="center"/>
    </xf>
    <xf numFmtId="8" fontId="0" fillId="0" borderId="32" xfId="0" applyNumberFormat="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left"/>
    </xf>
    <xf numFmtId="8" fontId="0" fillId="0" borderId="32" xfId="0" applyNumberFormat="1" applyBorder="1" applyAlignment="1">
      <alignment horizontal="right" vertical="center" wrapText="1"/>
    </xf>
    <xf numFmtId="164" fontId="0" fillId="0" borderId="32" xfId="0" applyNumberFormat="1" applyBorder="1" applyAlignment="1">
      <alignment vertical="center" wrapText="1"/>
    </xf>
    <xf numFmtId="8" fontId="3" fillId="0" borderId="32" xfId="0" applyNumberFormat="1" applyFont="1" applyBorder="1" applyAlignment="1">
      <alignment horizontal="center" vertical="center" wrapText="1"/>
    </xf>
    <xf numFmtId="8" fontId="3" fillId="0" borderId="32" xfId="0" applyNumberFormat="1" applyFont="1" applyBorder="1" applyAlignment="1">
      <alignment horizontal="right" vertical="center" wrapText="1"/>
    </xf>
    <xf numFmtId="0" fontId="0" fillId="0" borderId="51" xfId="0" applyBorder="1" applyAlignment="1">
      <alignment horizontal="left"/>
    </xf>
    <xf numFmtId="164" fontId="0" fillId="0" borderId="32" xfId="0" applyNumberFormat="1" applyBorder="1"/>
    <xf numFmtId="0" fontId="3" fillId="0" borderId="51" xfId="0" applyFont="1" applyBorder="1"/>
    <xf numFmtId="0" fontId="25" fillId="3" borderId="0" xfId="0" applyFont="1" applyFill="1" applyAlignment="1">
      <alignment horizontal="center" vertical="center" wrapText="1"/>
    </xf>
    <xf numFmtId="164" fontId="0" fillId="0" borderId="32" xfId="0" applyNumberFormat="1" applyBorder="1" applyAlignment="1">
      <alignment horizontal="right" vertical="center" wrapText="1"/>
    </xf>
    <xf numFmtId="8" fontId="0" fillId="0" borderId="63" xfId="0" applyNumberFormat="1" applyBorder="1" applyAlignment="1">
      <alignment horizontal="right" vertical="center" wrapText="1"/>
    </xf>
    <xf numFmtId="4" fontId="40" fillId="0" borderId="0" xfId="0" applyNumberFormat="1" applyFont="1"/>
    <xf numFmtId="4" fontId="41" fillId="0" borderId="0" xfId="0" applyNumberFormat="1" applyFont="1"/>
    <xf numFmtId="4" fontId="41" fillId="0" borderId="0" xfId="0" applyNumberFormat="1" applyFont="1" applyAlignment="1">
      <alignment horizontal="right"/>
    </xf>
    <xf numFmtId="4" fontId="41" fillId="2" borderId="1" xfId="0" applyNumberFormat="1" applyFont="1" applyFill="1" applyBorder="1" applyAlignment="1">
      <alignment horizontal="left"/>
    </xf>
    <xf numFmtId="4" fontId="41" fillId="2" borderId="0" xfId="0" applyNumberFormat="1" applyFont="1" applyFill="1" applyAlignment="1">
      <alignment horizontal="center"/>
    </xf>
    <xf numFmtId="4" fontId="41" fillId="2" borderId="35" xfId="0" applyNumberFormat="1" applyFont="1" applyFill="1" applyBorder="1" applyAlignment="1">
      <alignment horizontal="center"/>
    </xf>
    <xf numFmtId="4" fontId="41" fillId="2" borderId="2" xfId="0" applyNumberFormat="1" applyFont="1" applyFill="1" applyBorder="1" applyAlignment="1">
      <alignment horizontal="left"/>
    </xf>
    <xf numFmtId="4" fontId="41" fillId="2" borderId="3" xfId="0" applyNumberFormat="1" applyFont="1" applyFill="1" applyBorder="1" applyAlignment="1">
      <alignment horizontal="center"/>
    </xf>
    <xf numFmtId="3" fontId="41" fillId="2" borderId="29" xfId="0" applyNumberFormat="1" applyFont="1" applyFill="1" applyBorder="1" applyAlignment="1">
      <alignment horizontal="center"/>
    </xf>
    <xf numFmtId="3" fontId="41" fillId="2" borderId="29" xfId="0" applyNumberFormat="1" applyFont="1" applyFill="1" applyBorder="1" applyAlignment="1">
      <alignment horizontal="right"/>
    </xf>
    <xf numFmtId="3" fontId="41" fillId="2" borderId="0" xfId="0" applyNumberFormat="1" applyFont="1" applyFill="1" applyAlignment="1">
      <alignment horizontal="right"/>
    </xf>
    <xf numFmtId="4" fontId="41" fillId="2" borderId="2" xfId="0" applyNumberFormat="1" applyFont="1" applyFill="1" applyBorder="1" applyAlignment="1">
      <alignment horizontal="center"/>
    </xf>
    <xf numFmtId="3" fontId="41" fillId="2" borderId="4" xfId="0" applyNumberFormat="1" applyFont="1" applyFill="1" applyBorder="1"/>
    <xf numFmtId="37" fontId="41" fillId="0" borderId="0" xfId="0" applyNumberFormat="1" applyFont="1"/>
    <xf numFmtId="3" fontId="44" fillId="7" borderId="6" xfId="0" applyNumberFormat="1" applyFont="1" applyFill="1" applyBorder="1"/>
    <xf numFmtId="3" fontId="41" fillId="2" borderId="6" xfId="0" applyNumberFormat="1" applyFont="1" applyFill="1" applyBorder="1"/>
    <xf numFmtId="39" fontId="41" fillId="0" borderId="0" xfId="0" applyNumberFormat="1" applyFont="1"/>
    <xf numFmtId="4" fontId="44" fillId="7" borderId="6" xfId="0" applyNumberFormat="1" applyFont="1" applyFill="1" applyBorder="1"/>
    <xf numFmtId="167" fontId="41" fillId="0" borderId="20" xfId="0" applyNumberFormat="1" applyFont="1" applyBorder="1"/>
    <xf numFmtId="167" fontId="41" fillId="0" borderId="0" xfId="0" applyNumberFormat="1" applyFont="1"/>
    <xf numFmtId="3" fontId="41" fillId="2" borderId="5" xfId="0" applyNumberFormat="1" applyFont="1" applyFill="1" applyBorder="1"/>
    <xf numFmtId="4" fontId="0" fillId="3" borderId="0" xfId="0" applyNumberFormat="1" applyFill="1"/>
    <xf numFmtId="4" fontId="41" fillId="2" borderId="5" xfId="0" quotePrefix="1" applyNumberFormat="1" applyFont="1" applyFill="1" applyBorder="1" applyAlignment="1">
      <alignment horizontal="right"/>
    </xf>
    <xf numFmtId="3" fontId="41" fillId="2" borderId="6" xfId="0" quotePrefix="1" applyNumberFormat="1" applyFont="1" applyFill="1" applyBorder="1" applyAlignment="1">
      <alignment horizontal="right"/>
    </xf>
    <xf numFmtId="4" fontId="41"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29" fillId="9" borderId="6" xfId="0" applyFont="1" applyFill="1" applyBorder="1" applyAlignment="1">
      <alignment vertical="center" wrapText="1"/>
    </xf>
    <xf numFmtId="39" fontId="41" fillId="0" borderId="6" xfId="0" applyNumberFormat="1" applyFont="1" applyBorder="1"/>
    <xf numFmtId="0" fontId="29" fillId="3" borderId="32" xfId="0" applyFont="1" applyFill="1" applyBorder="1" applyAlignment="1">
      <alignment horizontal="center" vertical="center" wrapText="1"/>
    </xf>
    <xf numFmtId="2" fontId="2" fillId="3" borderId="18"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19" xfId="0" applyNumberFormat="1" applyBorder="1"/>
    <xf numFmtId="37" fontId="0" fillId="0" borderId="12" xfId="0" applyNumberFormat="1" applyBorder="1"/>
    <xf numFmtId="39" fontId="0" fillId="0" borderId="19"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5" borderId="0" xfId="0" applyFill="1"/>
    <xf numFmtId="37" fontId="7" fillId="0" borderId="20" xfId="0" applyNumberFormat="1" applyFont="1" applyBorder="1"/>
    <xf numFmtId="37" fontId="7" fillId="0" borderId="0" xfId="0" applyNumberFormat="1" applyFont="1"/>
    <xf numFmtId="37" fontId="7" fillId="0" borderId="21" xfId="0" applyNumberFormat="1" applyFont="1" applyBorder="1"/>
    <xf numFmtId="37" fontId="7" fillId="0" borderId="22" xfId="0" applyNumberFormat="1" applyFont="1" applyBorder="1"/>
    <xf numFmtId="37" fontId="7" fillId="0" borderId="23" xfId="0" applyNumberFormat="1" applyFont="1" applyBorder="1"/>
    <xf numFmtId="37" fontId="7" fillId="0" borderId="24" xfId="0" applyNumberFormat="1" applyFont="1" applyBorder="1"/>
    <xf numFmtId="39" fontId="7" fillId="0" borderId="20" xfId="0" applyNumberFormat="1" applyFont="1" applyBorder="1"/>
    <xf numFmtId="39" fontId="7" fillId="0" borderId="0" xfId="0" applyNumberFormat="1" applyFont="1"/>
    <xf numFmtId="39" fontId="7" fillId="0" borderId="22" xfId="0" applyNumberFormat="1" applyFont="1" applyBorder="1"/>
    <xf numFmtId="39" fontId="7" fillId="0" borderId="23" xfId="0" applyNumberFormat="1" applyFont="1" applyBorder="1"/>
    <xf numFmtId="37" fontId="1" fillId="0" borderId="20" xfId="0" applyNumberFormat="1" applyFont="1" applyBorder="1"/>
    <xf numFmtId="37" fontId="1" fillId="0" borderId="0" xfId="0" applyNumberFormat="1" applyFont="1"/>
    <xf numFmtId="37" fontId="1" fillId="0" borderId="21" xfId="0" applyNumberFormat="1" applyFont="1" applyBorder="1"/>
    <xf numFmtId="37" fontId="1" fillId="0" borderId="22" xfId="0" applyNumberFormat="1" applyFont="1" applyBorder="1"/>
    <xf numFmtId="37" fontId="1" fillId="0" borderId="23" xfId="0" applyNumberFormat="1" applyFont="1" applyBorder="1"/>
    <xf numFmtId="37" fontId="1" fillId="0" borderId="24" xfId="0" applyNumberFormat="1" applyFont="1" applyBorder="1"/>
    <xf numFmtId="0" fontId="43" fillId="3" borderId="6" xfId="0" applyFont="1" applyFill="1" applyBorder="1" applyAlignment="1">
      <alignment vertical="center"/>
    </xf>
    <xf numFmtId="8" fontId="43" fillId="3" borderId="6" xfId="0" applyNumberFormat="1" applyFont="1" applyFill="1" applyBorder="1" applyAlignment="1">
      <alignment vertical="center"/>
    </xf>
    <xf numFmtId="37" fontId="41" fillId="0" borderId="6" xfId="0" applyNumberFormat="1" applyFont="1" applyBorder="1"/>
    <xf numFmtId="164" fontId="41" fillId="0" borderId="6" xfId="0" applyNumberFormat="1" applyFont="1" applyBorder="1"/>
    <xf numFmtId="0" fontId="42" fillId="3" borderId="7"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3" fillId="3" borderId="18" xfId="0" applyFont="1" applyFill="1" applyBorder="1" applyAlignment="1">
      <alignment vertical="center"/>
    </xf>
    <xf numFmtId="8" fontId="43" fillId="3" borderId="19" xfId="0" applyNumberFormat="1" applyFont="1" applyFill="1" applyBorder="1" applyAlignment="1">
      <alignment vertical="center"/>
    </xf>
    <xf numFmtId="37" fontId="41" fillId="0" borderId="18" xfId="0" applyNumberFormat="1" applyFont="1" applyBorder="1"/>
    <xf numFmtId="37" fontId="41" fillId="0" borderId="10" xfId="0" applyNumberFormat="1" applyFont="1" applyBorder="1" applyAlignment="1">
      <alignment wrapText="1"/>
    </xf>
    <xf numFmtId="37" fontId="41" fillId="0" borderId="11" xfId="0" applyNumberFormat="1" applyFont="1" applyBorder="1"/>
    <xf numFmtId="164" fontId="41" fillId="0" borderId="11" xfId="0" applyNumberFormat="1" applyFont="1" applyBorder="1"/>
    <xf numFmtId="8" fontId="43" fillId="3" borderId="12" xfId="0" applyNumberFormat="1" applyFont="1" applyFill="1" applyBorder="1" applyAlignment="1">
      <alignment vertical="center"/>
    </xf>
    <xf numFmtId="0" fontId="23" fillId="10" borderId="6" xfId="0" applyFont="1" applyFill="1" applyBorder="1" applyAlignment="1">
      <alignment horizontal="left" vertical="center"/>
    </xf>
    <xf numFmtId="0" fontId="23" fillId="10" borderId="6" xfId="0" applyFont="1" applyFill="1" applyBorder="1" applyAlignment="1">
      <alignment horizontal="right" vertical="center"/>
    </xf>
    <xf numFmtId="0" fontId="23" fillId="11" borderId="6" xfId="0" applyFont="1" applyFill="1" applyBorder="1" applyAlignment="1">
      <alignment horizontal="left" vertical="center"/>
    </xf>
    <xf numFmtId="0" fontId="23" fillId="11" borderId="18" xfId="0" applyFont="1" applyFill="1" applyBorder="1" applyAlignment="1">
      <alignment horizontal="left" vertical="center"/>
    </xf>
    <xf numFmtId="0" fontId="23" fillId="11" borderId="10" xfId="0" applyFont="1" applyFill="1" applyBorder="1" applyAlignment="1">
      <alignment horizontal="left" vertical="center"/>
    </xf>
    <xf numFmtId="0" fontId="23" fillId="10" borderId="7" xfId="0" applyFont="1" applyFill="1" applyBorder="1" applyAlignment="1">
      <alignment horizontal="left" vertical="center"/>
    </xf>
    <xf numFmtId="0" fontId="23" fillId="10" borderId="8" xfId="0" applyFont="1" applyFill="1" applyBorder="1" applyAlignment="1">
      <alignment horizontal="right" vertical="center"/>
    </xf>
    <xf numFmtId="0" fontId="23" fillId="10" borderId="9" xfId="0" applyFont="1" applyFill="1" applyBorder="1" applyAlignment="1">
      <alignment horizontal="right" vertical="center"/>
    </xf>
    <xf numFmtId="0" fontId="25" fillId="11" borderId="9" xfId="0" applyFont="1" applyFill="1" applyBorder="1" applyAlignment="1">
      <alignment horizontal="center" vertical="center" wrapText="1"/>
    </xf>
    <xf numFmtId="0" fontId="29" fillId="11" borderId="47" xfId="0" applyFont="1" applyFill="1" applyBorder="1" applyAlignment="1">
      <alignment horizontal="center" vertical="center"/>
    </xf>
    <xf numFmtId="0" fontId="29" fillId="11" borderId="57" xfId="0" applyFont="1" applyFill="1" applyBorder="1" applyAlignment="1">
      <alignment horizontal="center" vertical="center"/>
    </xf>
    <xf numFmtId="0" fontId="29" fillId="11" borderId="68" xfId="0" applyFont="1" applyFill="1" applyBorder="1" applyAlignment="1">
      <alignment horizontal="center" vertical="center" wrapText="1"/>
    </xf>
    <xf numFmtId="0" fontId="10" fillId="11" borderId="4" xfId="0" applyFont="1" applyFill="1" applyBorder="1" applyAlignment="1">
      <alignment vertical="center" wrapText="1"/>
    </xf>
    <xf numFmtId="0" fontId="0" fillId="11" borderId="0" xfId="0" applyFill="1"/>
    <xf numFmtId="0" fontId="29" fillId="11" borderId="21" xfId="0" applyFont="1" applyFill="1" applyBorder="1" applyAlignment="1">
      <alignment horizontal="center" vertical="center" wrapText="1"/>
    </xf>
    <xf numFmtId="0" fontId="10" fillId="11" borderId="7" xfId="0" applyFont="1" applyFill="1" applyBorder="1" applyAlignment="1">
      <alignment vertical="center" wrapText="1"/>
    </xf>
    <xf numFmtId="0" fontId="10" fillId="11" borderId="18" xfId="0" applyFont="1" applyFill="1" applyBorder="1" applyAlignment="1">
      <alignment vertical="center" wrapText="1"/>
    </xf>
    <xf numFmtId="0" fontId="10" fillId="11" borderId="10" xfId="0" applyFont="1" applyFill="1" applyBorder="1" applyAlignment="1">
      <alignment vertical="center" wrapText="1"/>
    </xf>
    <xf numFmtId="0" fontId="10" fillId="11" borderId="57" xfId="0" applyFont="1" applyFill="1" applyBorder="1"/>
    <xf numFmtId="0" fontId="29" fillId="11" borderId="18" xfId="0" applyFont="1" applyFill="1" applyBorder="1" applyAlignment="1">
      <alignment horizontal="center" vertical="center" wrapText="1"/>
    </xf>
    <xf numFmtId="0" fontId="29" fillId="11" borderId="6" xfId="0" applyFont="1" applyFill="1" applyBorder="1" applyAlignment="1">
      <alignment horizontal="center" vertical="center" wrapText="1"/>
    </xf>
    <xf numFmtId="0" fontId="37" fillId="11" borderId="6" xfId="0" applyFont="1" applyFill="1" applyBorder="1" applyAlignment="1">
      <alignment horizontal="left" wrapText="1"/>
    </xf>
    <xf numFmtId="0" fontId="10" fillId="11" borderId="6" xfId="0" applyFont="1" applyFill="1" applyBorder="1" applyAlignment="1">
      <alignment horizontal="left" wrapText="1"/>
    </xf>
    <xf numFmtId="0" fontId="10" fillId="11" borderId="6" xfId="0" applyFont="1" applyFill="1" applyBorder="1" applyAlignment="1">
      <alignment wrapText="1"/>
    </xf>
    <xf numFmtId="0" fontId="10" fillId="11" borderId="5" xfId="0" applyFont="1" applyFill="1" applyBorder="1" applyAlignment="1">
      <alignment wrapText="1"/>
    </xf>
    <xf numFmtId="0" fontId="4" fillId="11" borderId="7" xfId="0" applyFont="1" applyFill="1" applyBorder="1" applyAlignment="1">
      <alignment vertical="center" wrapText="1"/>
    </xf>
    <xf numFmtId="0" fontId="4" fillId="11" borderId="10" xfId="0" applyFont="1" applyFill="1" applyBorder="1" applyAlignment="1">
      <alignment vertical="center" wrapText="1"/>
    </xf>
    <xf numFmtId="0" fontId="10" fillId="11" borderId="9" xfId="0" applyFont="1" applyFill="1" applyBorder="1" applyAlignment="1">
      <alignment horizontal="center" vertical="center" wrapText="1"/>
    </xf>
    <xf numFmtId="0" fontId="54" fillId="0" borderId="0" xfId="0" applyFont="1"/>
    <xf numFmtId="0" fontId="49" fillId="0" borderId="0" xfId="0" applyFont="1"/>
    <xf numFmtId="0" fontId="23" fillId="10" borderId="27" xfId="0" applyFont="1" applyFill="1" applyBorder="1" applyAlignment="1">
      <alignment horizontal="right" vertical="center"/>
    </xf>
    <xf numFmtId="0" fontId="23" fillId="10" borderId="28" xfId="0" applyFont="1" applyFill="1" applyBorder="1" applyAlignment="1">
      <alignment horizontal="right" vertical="center"/>
    </xf>
    <xf numFmtId="0" fontId="55" fillId="0" borderId="18" xfId="0" applyFont="1" applyBorder="1" applyAlignment="1">
      <alignment wrapText="1"/>
    </xf>
    <xf numFmtId="0" fontId="55" fillId="0" borderId="18" xfId="0" applyFont="1" applyBorder="1"/>
    <xf numFmtId="0" fontId="55" fillId="0" borderId="10" xfId="0" applyFont="1" applyBorder="1" applyAlignment="1">
      <alignment wrapText="1"/>
    </xf>
    <xf numFmtId="0" fontId="55" fillId="0" borderId="8" xfId="0" applyFont="1" applyBorder="1" applyAlignment="1">
      <alignment horizontal="right"/>
    </xf>
    <xf numFmtId="0" fontId="55" fillId="0" borderId="9" xfId="0" applyFont="1" applyBorder="1" applyAlignment="1">
      <alignment horizontal="right"/>
    </xf>
    <xf numFmtId="164" fontId="49" fillId="0" borderId="6" xfId="0" applyNumberFormat="1" applyFont="1" applyBorder="1"/>
    <xf numFmtId="164" fontId="49" fillId="0" borderId="19" xfId="0" applyNumberFormat="1" applyFont="1" applyBorder="1"/>
    <xf numFmtId="0" fontId="55" fillId="0" borderId="18" xfId="0" applyFont="1" applyBorder="1" applyAlignment="1">
      <alignment horizontal="left"/>
    </xf>
    <xf numFmtId="164" fontId="49" fillId="0" borderId="19" xfId="0" applyNumberFormat="1" applyFont="1" applyBorder="1" applyAlignment="1">
      <alignment horizontal="right"/>
    </xf>
    <xf numFmtId="0" fontId="49" fillId="0" borderId="13" xfId="0" applyFont="1" applyBorder="1"/>
    <xf numFmtId="0" fontId="49" fillId="0" borderId="14" xfId="0" applyFont="1" applyBorder="1"/>
    <xf numFmtId="0" fontId="55" fillId="0" borderId="10" xfId="0" applyFont="1" applyBorder="1" applyAlignment="1">
      <alignment horizontal="left" wrapText="1"/>
    </xf>
    <xf numFmtId="164" fontId="55" fillId="0" borderId="11" xfId="0" applyNumberFormat="1" applyFont="1" applyBorder="1"/>
    <xf numFmtId="164" fontId="55" fillId="0" borderId="12" xfId="0" applyNumberFormat="1" applyFont="1" applyBorder="1"/>
    <xf numFmtId="164" fontId="55" fillId="0" borderId="53" xfId="0" applyNumberFormat="1" applyFont="1" applyBorder="1"/>
    <xf numFmtId="164" fontId="55" fillId="0" borderId="26" xfId="0" applyNumberFormat="1" applyFont="1" applyBorder="1"/>
    <xf numFmtId="0" fontId="55" fillId="0" borderId="0" xfId="0" applyFont="1" applyAlignment="1">
      <alignment horizontal="left"/>
    </xf>
    <xf numFmtId="0" fontId="55" fillId="0" borderId="36" xfId="0" applyFont="1" applyBorder="1"/>
    <xf numFmtId="164" fontId="55" fillId="0" borderId="38" xfId="0" applyNumberFormat="1" applyFont="1" applyBorder="1"/>
    <xf numFmtId="0" fontId="55" fillId="0" borderId="0" xfId="0" applyFont="1"/>
    <xf numFmtId="164" fontId="55" fillId="0" borderId="0" xfId="0" applyNumberFormat="1" applyFont="1"/>
    <xf numFmtId="164" fontId="55" fillId="0" borderId="38" xfId="0" applyNumberFormat="1" applyFont="1" applyBorder="1" applyAlignment="1">
      <alignment horizontal="right"/>
    </xf>
    <xf numFmtId="164" fontId="55" fillId="3" borderId="9" xfId="0" applyNumberFormat="1" applyFont="1" applyFill="1" applyBorder="1"/>
    <xf numFmtId="164" fontId="55" fillId="3" borderId="12" xfId="0" applyNumberFormat="1" applyFont="1" applyFill="1" applyBorder="1"/>
    <xf numFmtId="164" fontId="55" fillId="0" borderId="9" xfId="0" applyNumberFormat="1" applyFont="1" applyBorder="1"/>
    <xf numFmtId="164" fontId="55" fillId="0" borderId="19" xfId="0" applyNumberFormat="1" applyFont="1" applyBorder="1"/>
    <xf numFmtId="164" fontId="55" fillId="0" borderId="69" xfId="0" applyNumberFormat="1" applyFont="1" applyBorder="1"/>
    <xf numFmtId="2" fontId="14" fillId="12" borderId="6" xfId="0" applyNumberFormat="1" applyFont="1" applyFill="1" applyBorder="1" applyProtection="1">
      <protection locked="0" hidden="1"/>
    </xf>
    <xf numFmtId="0" fontId="55" fillId="0" borderId="7" xfId="0" applyFont="1" applyBorder="1" applyAlignment="1">
      <alignment wrapText="1"/>
    </xf>
    <xf numFmtId="0" fontId="57" fillId="0" borderId="7" xfId="0" applyFont="1" applyBorder="1" applyAlignment="1">
      <alignment horizontal="center"/>
    </xf>
    <xf numFmtId="0" fontId="49" fillId="0" borderId="18" xfId="0" applyFont="1" applyBorder="1"/>
    <xf numFmtId="0" fontId="55" fillId="0" borderId="18" xfId="0" applyFont="1" applyBorder="1" applyAlignment="1">
      <alignment horizontal="left" wrapText="1"/>
    </xf>
    <xf numFmtId="0" fontId="55" fillId="0" borderId="0" xfId="0" applyFont="1" applyAlignment="1">
      <alignment horizontal="left" wrapText="1"/>
    </xf>
    <xf numFmtId="0" fontId="55" fillId="0" borderId="36" xfId="0" applyFont="1" applyBorder="1" applyAlignment="1">
      <alignment horizontal="left"/>
    </xf>
    <xf numFmtId="164" fontId="49" fillId="3" borderId="0" xfId="0" applyNumberFormat="1" applyFont="1" applyFill="1" applyAlignment="1">
      <alignment horizontal="center"/>
    </xf>
    <xf numFmtId="164" fontId="49" fillId="3" borderId="21" xfId="0" applyNumberFormat="1" applyFont="1" applyFill="1" applyBorder="1" applyAlignment="1">
      <alignment horizontal="center"/>
    </xf>
    <xf numFmtId="164" fontId="49" fillId="0" borderId="55" xfId="0" applyNumberFormat="1" applyFont="1" applyBorder="1"/>
    <xf numFmtId="0" fontId="26" fillId="6" borderId="6" xfId="0" applyFont="1" applyFill="1" applyBorder="1" applyAlignment="1">
      <alignment horizontal="center" vertical="center" wrapText="1"/>
    </xf>
    <xf numFmtId="4" fontId="27" fillId="11" borderId="0" xfId="0" applyNumberFormat="1" applyFont="1" applyFill="1"/>
    <xf numFmtId="2" fontId="0" fillId="0" borderId="0" xfId="0" applyNumberFormat="1"/>
    <xf numFmtId="4" fontId="0" fillId="11" borderId="0" xfId="0" applyNumberFormat="1" applyFill="1"/>
    <xf numFmtId="0" fontId="10" fillId="10" borderId="70" xfId="0" applyFont="1" applyFill="1" applyBorder="1"/>
    <xf numFmtId="0" fontId="63" fillId="10" borderId="70" xfId="0" applyFont="1" applyFill="1" applyBorder="1" applyAlignment="1">
      <alignment vertical="center"/>
    </xf>
    <xf numFmtId="0" fontId="10" fillId="11" borderId="70" xfId="0" applyFont="1" applyFill="1" applyBorder="1"/>
    <xf numFmtId="0" fontId="0" fillId="0" borderId="70" xfId="0" applyBorder="1"/>
    <xf numFmtId="0" fontId="0" fillId="13" borderId="0" xfId="0" applyFill="1"/>
    <xf numFmtId="43" fontId="0" fillId="13" borderId="70" xfId="2" applyFont="1" applyFill="1" applyBorder="1"/>
    <xf numFmtId="0" fontId="0" fillId="13" borderId="70" xfId="0" applyFill="1" applyBorder="1"/>
    <xf numFmtId="169" fontId="0" fillId="0" borderId="70" xfId="2" applyNumberFormat="1" applyFont="1" applyBorder="1"/>
    <xf numFmtId="0" fontId="3" fillId="0" borderId="70" xfId="0" applyFont="1" applyBorder="1"/>
    <xf numFmtId="169" fontId="3" fillId="0" borderId="70" xfId="2" applyNumberFormat="1" applyFont="1" applyBorder="1" applyAlignment="1">
      <alignment horizontal="right"/>
    </xf>
    <xf numFmtId="169" fontId="3" fillId="0" borderId="70" xfId="2" applyNumberFormat="1" applyFont="1" applyBorder="1"/>
    <xf numFmtId="169" fontId="64" fillId="0" borderId="70" xfId="2" applyNumberFormat="1" applyFont="1" applyBorder="1"/>
    <xf numFmtId="0" fontId="63" fillId="10" borderId="43" xfId="0" applyFont="1" applyFill="1" applyBorder="1" applyAlignment="1">
      <alignment vertical="center"/>
    </xf>
    <xf numFmtId="0" fontId="63" fillId="11" borderId="25" xfId="0" applyFont="1" applyFill="1" applyBorder="1" applyAlignment="1">
      <alignment vertical="center"/>
    </xf>
    <xf numFmtId="169" fontId="65" fillId="0" borderId="26" xfId="0" applyNumberFormat="1" applyFont="1" applyBorder="1" applyAlignment="1">
      <alignment horizontal="right" vertical="center"/>
    </xf>
    <xf numFmtId="0" fontId="65" fillId="8" borderId="26" xfId="0" applyFont="1" applyFill="1" applyBorder="1" applyAlignment="1">
      <alignment vertical="center"/>
    </xf>
    <xf numFmtId="0" fontId="65" fillId="0" borderId="26" xfId="0" applyFont="1" applyBorder="1" applyAlignment="1">
      <alignment horizontal="right" vertical="center"/>
    </xf>
    <xf numFmtId="169" fontId="66" fillId="0" borderId="26" xfId="3" applyNumberFormat="1" applyFont="1" applyBorder="1" applyAlignment="1">
      <alignment horizontal="right" vertical="center"/>
    </xf>
    <xf numFmtId="169" fontId="67" fillId="0" borderId="26" xfId="0" applyNumberFormat="1" applyFont="1" applyBorder="1" applyAlignment="1">
      <alignment horizontal="right" vertical="center"/>
    </xf>
    <xf numFmtId="169" fontId="62" fillId="0" borderId="26" xfId="0" applyNumberFormat="1" applyFont="1" applyBorder="1" applyAlignment="1">
      <alignment horizontal="right" vertical="center"/>
    </xf>
    <xf numFmtId="0" fontId="63" fillId="11" borderId="25" xfId="0" applyFont="1" applyFill="1" applyBorder="1" applyAlignment="1">
      <alignment vertical="center" wrapText="1"/>
    </xf>
    <xf numFmtId="169" fontId="66" fillId="0" borderId="26" xfId="0" applyNumberFormat="1" applyFont="1" applyBorder="1" applyAlignment="1">
      <alignment horizontal="right" vertical="center"/>
    </xf>
    <xf numFmtId="169" fontId="66" fillId="0" borderId="25" xfId="0" applyNumberFormat="1" applyFont="1" applyBorder="1" applyAlignment="1">
      <alignment horizontal="right" vertical="center"/>
    </xf>
    <xf numFmtId="164" fontId="55" fillId="0" borderId="37" xfId="0" applyNumberFormat="1" applyFont="1" applyBorder="1" applyAlignment="1">
      <alignment horizontal="right"/>
    </xf>
    <xf numFmtId="164" fontId="10" fillId="0" borderId="0" xfId="0" applyNumberFormat="1" applyFont="1"/>
    <xf numFmtId="0" fontId="16" fillId="0" borderId="7" xfId="0" applyFont="1" applyBorder="1"/>
    <xf numFmtId="0" fontId="16" fillId="0" borderId="8" xfId="0" applyFont="1" applyBorder="1"/>
    <xf numFmtId="0" fontId="16" fillId="0" borderId="9" xfId="0" applyFont="1" applyBorder="1"/>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39" xfId="0" applyFont="1" applyBorder="1" applyAlignment="1">
      <alignment horizontal="left"/>
    </xf>
    <xf numFmtId="0" fontId="55" fillId="0" borderId="40" xfId="0" applyFont="1" applyBorder="1" applyAlignment="1">
      <alignment horizontal="left"/>
    </xf>
    <xf numFmtId="0" fontId="55" fillId="0" borderId="41" xfId="0" applyFont="1" applyBorder="1" applyAlignment="1">
      <alignment horizontal="left"/>
    </xf>
    <xf numFmtId="0" fontId="18" fillId="0" borderId="51" xfId="0" applyFont="1" applyBorder="1" applyAlignment="1">
      <alignment wrapText="1"/>
    </xf>
    <xf numFmtId="0" fontId="18" fillId="0" borderId="32" xfId="0" applyFont="1" applyBorder="1" applyAlignment="1">
      <alignment wrapText="1"/>
    </xf>
    <xf numFmtId="0" fontId="18" fillId="0" borderId="52" xfId="0" applyFont="1" applyBorder="1" applyAlignment="1">
      <alignment wrapText="1"/>
    </xf>
    <xf numFmtId="0" fontId="57" fillId="0" borderId="8" xfId="0" applyFont="1" applyBorder="1" applyAlignment="1">
      <alignment horizontal="left" wrapText="1"/>
    </xf>
    <xf numFmtId="0" fontId="57" fillId="0" borderId="9" xfId="0" applyFont="1" applyBorder="1" applyAlignment="1">
      <alignment horizontal="left" wrapText="1"/>
    </xf>
    <xf numFmtId="0" fontId="3" fillId="12" borderId="6" xfId="0" applyFont="1" applyFill="1" applyBorder="1" applyAlignment="1" applyProtection="1">
      <alignment horizontal="left"/>
      <protection hidden="1"/>
    </xf>
    <xf numFmtId="0" fontId="3" fillId="12" borderId="19" xfId="0" applyFont="1" applyFill="1" applyBorder="1" applyAlignment="1" applyProtection="1">
      <alignment horizontal="left"/>
      <protection hidden="1"/>
    </xf>
    <xf numFmtId="0" fontId="55" fillId="0" borderId="18" xfId="0" applyFont="1" applyBorder="1"/>
    <xf numFmtId="0" fontId="55" fillId="0" borderId="6" xfId="0" applyFont="1" applyBorder="1"/>
    <xf numFmtId="2" fontId="3" fillId="12" borderId="6" xfId="0" applyNumberFormat="1" applyFont="1" applyFill="1" applyBorder="1" applyAlignment="1" applyProtection="1">
      <alignment horizontal="left"/>
      <protection locked="0" hidden="1"/>
    </xf>
    <xf numFmtId="2" fontId="3" fillId="12" borderId="19" xfId="0" applyNumberFormat="1" applyFont="1" applyFill="1" applyBorder="1" applyAlignment="1" applyProtection="1">
      <alignment horizontal="left"/>
      <protection locked="0" hidden="1"/>
    </xf>
    <xf numFmtId="0" fontId="3" fillId="12" borderId="6" xfId="0" applyFont="1" applyFill="1" applyBorder="1" applyProtection="1">
      <protection locked="0" hidden="1"/>
    </xf>
    <xf numFmtId="0" fontId="3" fillId="12" borderId="19" xfId="0" applyFont="1" applyFill="1" applyBorder="1" applyProtection="1">
      <protection locked="0" hidden="1"/>
    </xf>
    <xf numFmtId="0" fontId="3" fillId="12" borderId="6" xfId="0" applyFont="1" applyFill="1" applyBorder="1" applyAlignment="1" applyProtection="1">
      <alignment horizontal="left"/>
      <protection locked="0" hidden="1"/>
    </xf>
    <xf numFmtId="0" fontId="3" fillId="12" borderId="19" xfId="0" applyFont="1" applyFill="1" applyBorder="1" applyAlignment="1" applyProtection="1">
      <alignment horizontal="left"/>
      <protection locked="0" hidden="1"/>
    </xf>
    <xf numFmtId="164" fontId="3" fillId="12" borderId="6" xfId="0" applyNumberFormat="1" applyFont="1" applyFill="1" applyBorder="1" applyAlignment="1" applyProtection="1">
      <alignment horizontal="left"/>
      <protection locked="0" hidden="1"/>
    </xf>
    <xf numFmtId="164" fontId="3" fillId="12" borderId="19" xfId="0" applyNumberFormat="1" applyFont="1" applyFill="1" applyBorder="1" applyAlignment="1" applyProtection="1">
      <alignment horizontal="left"/>
      <protection locked="0" hidden="1"/>
    </xf>
    <xf numFmtId="2" fontId="3" fillId="12" borderId="27" xfId="0" applyNumberFormat="1" applyFont="1" applyFill="1" applyBorder="1" applyAlignment="1" applyProtection="1">
      <alignment horizontal="left"/>
      <protection locked="0" hidden="1"/>
    </xf>
    <xf numFmtId="2" fontId="3" fillId="12" borderId="32" xfId="0" applyNumberFormat="1" applyFont="1" applyFill="1" applyBorder="1" applyAlignment="1" applyProtection="1">
      <alignment horizontal="left"/>
      <protection locked="0" hidden="1"/>
    </xf>
    <xf numFmtId="2" fontId="3" fillId="12" borderId="52" xfId="0" applyNumberFormat="1" applyFont="1" applyFill="1" applyBorder="1" applyAlignment="1" applyProtection="1">
      <alignment horizontal="left"/>
      <protection locked="0" hidden="1"/>
    </xf>
    <xf numFmtId="0" fontId="55" fillId="0" borderId="7" xfId="0" applyFont="1" applyBorder="1" applyAlignment="1">
      <alignment horizontal="center"/>
    </xf>
    <xf numFmtId="0" fontId="55" fillId="0" borderId="8" xfId="0" applyFont="1" applyBorder="1" applyAlignment="1">
      <alignment horizontal="center"/>
    </xf>
    <xf numFmtId="0" fontId="55" fillId="0" borderId="18" xfId="0" applyFont="1" applyBorder="1" applyAlignment="1">
      <alignment horizontal="left"/>
    </xf>
    <xf numFmtId="0" fontId="55" fillId="0" borderId="6" xfId="0" applyFont="1" applyBorder="1" applyAlignment="1">
      <alignment horizontal="left"/>
    </xf>
    <xf numFmtId="0" fontId="57" fillId="0" borderId="39" xfId="0" applyFont="1" applyBorder="1" applyAlignment="1">
      <alignment horizontal="center"/>
    </xf>
    <xf numFmtId="0" fontId="57" fillId="0" borderId="40" xfId="0" applyFont="1" applyBorder="1" applyAlignment="1">
      <alignment horizontal="center"/>
    </xf>
    <xf numFmtId="0" fontId="57" fillId="0" borderId="43" xfId="0" applyFont="1" applyBorder="1" applyAlignment="1">
      <alignment horizontal="center"/>
    </xf>
    <xf numFmtId="0" fontId="55" fillId="0" borderId="10" xfId="0" applyFont="1" applyBorder="1" applyAlignment="1">
      <alignment horizontal="left" wrapText="1"/>
    </xf>
    <xf numFmtId="0" fontId="55" fillId="0" borderId="11" xfId="0" applyFont="1" applyBorder="1" applyAlignment="1">
      <alignment horizontal="left" wrapText="1"/>
    </xf>
    <xf numFmtId="0" fontId="55" fillId="0" borderId="7" xfId="0" applyFont="1" applyBorder="1"/>
    <xf numFmtId="0" fontId="55" fillId="0" borderId="8" xfId="0" applyFont="1" applyBorder="1"/>
    <xf numFmtId="0" fontId="55" fillId="0" borderId="51" xfId="0" applyFont="1" applyBorder="1"/>
    <xf numFmtId="0" fontId="55" fillId="0" borderId="32" xfId="0" applyFont="1" applyBorder="1"/>
    <xf numFmtId="0" fontId="55" fillId="0" borderId="28" xfId="0" applyFont="1" applyBorder="1"/>
    <xf numFmtId="0" fontId="59" fillId="0" borderId="54" xfId="1" applyFont="1" applyFill="1" applyBorder="1" applyAlignment="1">
      <alignment wrapText="1"/>
    </xf>
    <xf numFmtId="0" fontId="60" fillId="0" borderId="53" xfId="1" applyFont="1" applyFill="1" applyBorder="1" applyAlignment="1">
      <alignment wrapText="1"/>
    </xf>
    <xf numFmtId="0" fontId="60" fillId="0" borderId="26" xfId="1" applyFont="1" applyFill="1" applyBorder="1" applyAlignment="1">
      <alignment wrapText="1"/>
    </xf>
    <xf numFmtId="2" fontId="3" fillId="12" borderId="11" xfId="0" applyNumberFormat="1" applyFont="1" applyFill="1" applyBorder="1" applyAlignment="1" applyProtection="1">
      <alignment horizontal="left"/>
      <protection locked="0" hidden="1"/>
    </xf>
    <xf numFmtId="2" fontId="3" fillId="12"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9" fillId="8" borderId="29" xfId="0" applyFont="1" applyFill="1" applyBorder="1"/>
    <xf numFmtId="0" fontId="49" fillId="8" borderId="4" xfId="0" applyFont="1" applyFill="1" applyBorder="1"/>
    <xf numFmtId="0" fontId="49" fillId="8" borderId="5" xfId="0" applyFont="1" applyFill="1" applyBorder="1"/>
    <xf numFmtId="0" fontId="55" fillId="0" borderId="10" xfId="0" applyFont="1" applyBorder="1"/>
    <xf numFmtId="0" fontId="55" fillId="0" borderId="11" xfId="0" applyFont="1" applyBorder="1"/>
    <xf numFmtId="0" fontId="55" fillId="0" borderId="46" xfId="0" applyFont="1" applyBorder="1" applyAlignment="1">
      <alignment horizontal="left"/>
    </xf>
    <xf numFmtId="0" fontId="55" fillId="0" borderId="47" xfId="0" applyFont="1" applyBorder="1" applyAlignment="1">
      <alignment horizontal="left"/>
    </xf>
    <xf numFmtId="0" fontId="55" fillId="0" borderId="45" xfId="0" applyFont="1" applyBorder="1" applyAlignment="1">
      <alignment horizontal="left"/>
    </xf>
    <xf numFmtId="0" fontId="55" fillId="0" borderId="48" xfId="0" applyFont="1" applyBorder="1" applyAlignment="1">
      <alignment horizontal="left"/>
    </xf>
    <xf numFmtId="0" fontId="55" fillId="0" borderId="49" xfId="0" applyFont="1" applyBorder="1" applyAlignment="1">
      <alignment horizontal="left"/>
    </xf>
    <xf numFmtId="0" fontId="55" fillId="0" borderId="50" xfId="0" applyFont="1" applyBorder="1" applyAlignment="1">
      <alignment horizontal="left"/>
    </xf>
    <xf numFmtId="0" fontId="55" fillId="0" borderId="36" xfId="0" applyFont="1" applyBorder="1"/>
    <xf numFmtId="0" fontId="55" fillId="0" borderId="37" xfId="0" applyFont="1" applyBorder="1"/>
    <xf numFmtId="0" fontId="55" fillId="0" borderId="0" xfId="0" applyFont="1" applyAlignment="1">
      <alignment horizontal="left"/>
    </xf>
    <xf numFmtId="0" fontId="13" fillId="0" borderId="18" xfId="0" applyFont="1" applyBorder="1" applyAlignment="1">
      <alignment wrapText="1"/>
    </xf>
    <xf numFmtId="0" fontId="13" fillId="0" borderId="6" xfId="0" applyFont="1" applyBorder="1" applyAlignment="1">
      <alignment wrapText="1"/>
    </xf>
    <xf numFmtId="0" fontId="13" fillId="0" borderId="19" xfId="0" applyFont="1" applyBorder="1" applyAlignment="1">
      <alignment wrapText="1"/>
    </xf>
    <xf numFmtId="0" fontId="57" fillId="0" borderId="42"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0" fontId="63" fillId="10" borderId="39" xfId="0" applyFont="1" applyFill="1" applyBorder="1" applyAlignment="1">
      <alignment vertical="center"/>
    </xf>
    <xf numFmtId="0" fontId="63" fillId="10" borderId="43" xfId="0" applyFont="1" applyFill="1" applyBorder="1" applyAlignment="1">
      <alignment vertical="center"/>
    </xf>
    <xf numFmtId="0" fontId="59" fillId="0" borderId="39" xfId="1" applyFont="1" applyFill="1" applyBorder="1" applyAlignment="1">
      <alignment wrapText="1"/>
    </xf>
    <xf numFmtId="0" fontId="59" fillId="0" borderId="40" xfId="1" applyFont="1" applyFill="1" applyBorder="1" applyAlignment="1">
      <alignment wrapText="1"/>
    </xf>
    <xf numFmtId="0" fontId="59" fillId="0" borderId="43" xfId="1" applyFont="1" applyFill="1" applyBorder="1" applyAlignment="1">
      <alignment wrapText="1"/>
    </xf>
    <xf numFmtId="0" fontId="14" fillId="12" borderId="27" xfId="0" applyFont="1" applyFill="1" applyBorder="1" applyAlignment="1" applyProtection="1">
      <alignment horizontal="left"/>
      <protection locked="0" hidden="1"/>
    </xf>
    <xf numFmtId="0" fontId="14" fillId="12" borderId="32" xfId="0" applyFont="1" applyFill="1" applyBorder="1" applyAlignment="1" applyProtection="1">
      <alignment horizontal="left"/>
      <protection locked="0" hidden="1"/>
    </xf>
    <xf numFmtId="0" fontId="14" fillId="12" borderId="28" xfId="0" applyFont="1" applyFill="1" applyBorder="1" applyAlignment="1" applyProtection="1">
      <alignment horizontal="left"/>
      <protection locked="0" hidden="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4" fontId="49" fillId="0" borderId="6" xfId="0" applyNumberFormat="1" applyFont="1" applyBorder="1"/>
    <xf numFmtId="164" fontId="55" fillId="0" borderId="6" xfId="0" applyNumberFormat="1" applyFont="1" applyBorder="1"/>
    <xf numFmtId="164" fontId="55" fillId="0" borderId="44" xfId="0" applyNumberFormat="1" applyFont="1" applyBorder="1"/>
    <xf numFmtId="164" fontId="55" fillId="0" borderId="41" xfId="0" applyNumberFormat="1" applyFont="1" applyBorder="1"/>
    <xf numFmtId="0" fontId="0" fillId="0" borderId="32" xfId="0" applyBorder="1" applyAlignment="1">
      <alignment wrapText="1"/>
    </xf>
    <xf numFmtId="0" fontId="0" fillId="0" borderId="52" xfId="0" applyBorder="1" applyAlignment="1">
      <alignment wrapText="1"/>
    </xf>
    <xf numFmtId="0" fontId="55" fillId="0" borderId="8" xfId="0" applyFont="1" applyBorder="1" applyAlignment="1">
      <alignment horizontal="right"/>
    </xf>
    <xf numFmtId="0" fontId="16" fillId="0" borderId="18" xfId="0" applyFont="1" applyBorder="1"/>
    <xf numFmtId="0" fontId="16" fillId="0" borderId="6" xfId="0" applyFont="1" applyBorder="1"/>
    <xf numFmtId="0" fontId="16" fillId="0" borderId="19" xfId="0" applyFont="1" applyBorder="1"/>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5" fillId="0" borderId="7" xfId="0" applyFont="1" applyBorder="1" applyAlignment="1">
      <alignment horizontal="left"/>
    </xf>
    <xf numFmtId="0" fontId="55" fillId="0" borderId="8" xfId="0" applyFont="1" applyBorder="1" applyAlignment="1">
      <alignment horizontal="left"/>
    </xf>
    <xf numFmtId="0" fontId="55" fillId="0" borderId="10" xfId="0" applyFont="1" applyBorder="1" applyAlignment="1">
      <alignment horizontal="left"/>
    </xf>
    <xf numFmtId="0" fontId="55" fillId="0" borderId="11" xfId="0" applyFont="1" applyBorder="1" applyAlignment="1">
      <alignment horizontal="left"/>
    </xf>
    <xf numFmtId="164" fontId="49" fillId="8" borderId="44" xfId="0" applyNumberFormat="1" applyFont="1" applyFill="1" applyBorder="1" applyAlignment="1">
      <alignment horizontal="center"/>
    </xf>
    <xf numFmtId="164" fontId="49" fillId="8" borderId="41" xfId="0" applyNumberFormat="1" applyFont="1" applyFill="1" applyBorder="1" applyAlignment="1">
      <alignment horizontal="center"/>
    </xf>
    <xf numFmtId="164" fontId="14" fillId="12" borderId="6" xfId="0" applyNumberFormat="1" applyFont="1" applyFill="1" applyBorder="1" applyAlignment="1" applyProtection="1">
      <alignment horizontal="left"/>
      <protection locked="0" hidden="1"/>
    </xf>
    <xf numFmtId="2" fontId="14" fillId="12" borderId="6" xfId="0" applyNumberFormat="1" applyFont="1" applyFill="1" applyBorder="1" applyAlignment="1" applyProtection="1">
      <alignment horizontal="left"/>
      <protection locked="0" hidden="1"/>
    </xf>
    <xf numFmtId="0" fontId="14" fillId="12" borderId="11" xfId="0" applyFont="1" applyFill="1" applyBorder="1" applyAlignment="1" applyProtection="1">
      <alignment horizontal="left"/>
      <protection locked="0" hidden="1"/>
    </xf>
    <xf numFmtId="0" fontId="57" fillId="0" borderId="0" xfId="0" applyFont="1" applyAlignment="1">
      <alignment horizontal="left" vertical="center" wrapText="1"/>
    </xf>
    <xf numFmtId="0" fontId="14" fillId="12" borderId="56" xfId="0" applyFont="1" applyFill="1" applyBorder="1" applyProtection="1">
      <protection locked="0" hidden="1"/>
    </xf>
    <xf numFmtId="0" fontId="14" fillId="12" borderId="47" xfId="0" applyFont="1" applyFill="1" applyBorder="1" applyProtection="1">
      <protection locked="0" hidden="1"/>
    </xf>
    <xf numFmtId="0" fontId="14" fillId="12" borderId="45" xfId="0" applyFont="1" applyFill="1" applyBorder="1" applyProtection="1">
      <protection locked="0" hidden="1"/>
    </xf>
    <xf numFmtId="0" fontId="14" fillId="12" borderId="6" xfId="0" applyFont="1" applyFill="1" applyBorder="1" applyProtection="1">
      <protection locked="0" hidden="1"/>
    </xf>
    <xf numFmtId="0" fontId="14" fillId="12" borderId="27" xfId="0" applyFont="1" applyFill="1" applyBorder="1" applyProtection="1">
      <protection hidden="1"/>
    </xf>
    <xf numFmtId="0" fontId="14" fillId="12" borderId="28" xfId="0" applyFont="1" applyFill="1" applyBorder="1" applyProtection="1">
      <protection hidden="1"/>
    </xf>
    <xf numFmtId="0" fontId="14" fillId="12" borderId="6" xfId="0" applyFont="1" applyFill="1" applyBorder="1" applyAlignment="1" applyProtection="1">
      <alignment horizontal="left"/>
      <protection locked="0" hidden="1"/>
    </xf>
    <xf numFmtId="3" fontId="0" fillId="3" borderId="11" xfId="0" applyNumberFormat="1" applyFill="1" applyBorder="1" applyAlignment="1">
      <alignment horizontal="right" vertical="center"/>
    </xf>
    <xf numFmtId="0" fontId="48" fillId="0" borderId="0" xfId="0" applyFont="1" applyAlignment="1">
      <alignment horizontal="center" vertical="center"/>
    </xf>
    <xf numFmtId="0" fontId="50" fillId="0" borderId="0" xfId="0" applyFont="1" applyAlignment="1">
      <alignment horizontal="center" vertical="center"/>
    </xf>
    <xf numFmtId="3" fontId="0" fillId="3" borderId="6" xfId="0" applyNumberFormat="1" applyFill="1" applyBorder="1" applyAlignment="1">
      <alignment horizontal="right" vertical="center"/>
    </xf>
    <xf numFmtId="4" fontId="0" fillId="3" borderId="6" xfId="0" applyNumberFormat="1" applyFill="1" applyBorder="1" applyAlignment="1">
      <alignment horizontal="right" vertical="center"/>
    </xf>
    <xf numFmtId="168" fontId="0" fillId="3" borderId="6" xfId="2" applyNumberFormat="1"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 xfId="0" applyFont="1" applyFill="1" applyBorder="1" applyAlignment="1">
      <alignment horizontal="center" vertical="center"/>
    </xf>
    <xf numFmtId="4" fontId="0" fillId="3" borderId="11" xfId="0" applyNumberFormat="1" applyFill="1" applyBorder="1" applyAlignment="1">
      <alignment horizontal="right" vertical="center"/>
    </xf>
    <xf numFmtId="4" fontId="0" fillId="3" borderId="6" xfId="0" applyNumberFormat="1" applyFill="1" applyBorder="1" applyAlignment="1">
      <alignment vertical="center"/>
    </xf>
    <xf numFmtId="4" fontId="0" fillId="3" borderId="11" xfId="0" applyNumberFormat="1" applyFill="1" applyBorder="1" applyAlignment="1">
      <alignment vertical="center"/>
    </xf>
    <xf numFmtId="0" fontId="23" fillId="10" borderId="8" xfId="0" applyFont="1" applyFill="1" applyBorder="1" applyAlignment="1">
      <alignment horizontal="center" vertical="center"/>
    </xf>
    <xf numFmtId="0" fontId="49" fillId="0" borderId="0" xfId="0" applyFont="1" applyAlignment="1">
      <alignment horizontal="left"/>
    </xf>
    <xf numFmtId="0" fontId="29" fillId="11" borderId="6"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0" fillId="0" borderId="22" xfId="0" applyBorder="1" applyAlignment="1">
      <alignment horizontal="right" vertical="center" wrapText="1"/>
    </xf>
    <xf numFmtId="0" fontId="0" fillId="0" borderId="63" xfId="0" applyBorder="1" applyAlignment="1">
      <alignment horizontal="right" vertical="center" wrapText="1"/>
    </xf>
    <xf numFmtId="0" fontId="4" fillId="11" borderId="65"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7" xfId="0" applyFont="1" applyFill="1" applyBorder="1" applyAlignment="1">
      <alignment horizontal="left" vertical="center" wrapText="1"/>
    </xf>
    <xf numFmtId="0" fontId="4" fillId="11" borderId="54" xfId="0" applyFont="1" applyFill="1" applyBorder="1" applyAlignment="1">
      <alignment horizontal="left" vertical="center" wrapText="1"/>
    </xf>
    <xf numFmtId="0" fontId="4" fillId="11" borderId="53" xfId="0" applyFont="1" applyFill="1" applyBorder="1" applyAlignment="1">
      <alignment horizontal="left" vertical="center" wrapText="1"/>
    </xf>
    <xf numFmtId="0" fontId="4" fillId="11" borderId="59" xfId="0" applyFont="1" applyFill="1" applyBorder="1" applyAlignment="1">
      <alignment horizontal="left" vertical="center" wrapText="1"/>
    </xf>
    <xf numFmtId="0" fontId="38" fillId="11" borderId="7" xfId="0" applyFont="1" applyFill="1" applyBorder="1" applyAlignment="1">
      <alignment horizontal="left" vertical="center" wrapText="1"/>
    </xf>
    <xf numFmtId="0" fontId="38" fillId="11" borderId="8" xfId="0" applyFont="1" applyFill="1" applyBorder="1" applyAlignment="1">
      <alignment horizontal="left" vertical="center" wrapText="1"/>
    </xf>
    <xf numFmtId="9" fontId="31" fillId="0" borderId="8" xfId="0" applyNumberFormat="1" applyFont="1" applyBorder="1" applyAlignment="1">
      <alignment horizontal="right" vertical="center" wrapText="1"/>
    </xf>
    <xf numFmtId="9" fontId="31" fillId="0" borderId="9" xfId="0" applyNumberFormat="1" applyFont="1" applyBorder="1" applyAlignment="1">
      <alignment horizontal="right" vertical="center" wrapText="1"/>
    </xf>
    <xf numFmtId="0" fontId="4" fillId="11" borderId="18"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0" fillId="0" borderId="6" xfId="0" applyBorder="1" applyAlignment="1">
      <alignment horizontal="right" vertical="center" wrapText="1"/>
    </xf>
    <xf numFmtId="0" fontId="4" fillId="11" borderId="27" xfId="0" applyFont="1" applyFill="1" applyBorder="1" applyAlignment="1">
      <alignment horizontal="left" vertical="center" wrapText="1"/>
    </xf>
    <xf numFmtId="0" fontId="4" fillId="11" borderId="61"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0" fillId="0" borderId="22" xfId="0" applyBorder="1" applyAlignment="1">
      <alignment horizontal="right" vertical="top" wrapText="1"/>
    </xf>
    <xf numFmtId="0" fontId="0" fillId="0" borderId="63" xfId="0" applyBorder="1" applyAlignment="1">
      <alignment horizontal="right" vertical="top"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57" xfId="0" applyFont="1" applyBorder="1" applyAlignment="1">
      <alignment horizontal="left" vertical="center"/>
    </xf>
    <xf numFmtId="0" fontId="54" fillId="3" borderId="0" xfId="0" applyFont="1" applyFill="1"/>
    <xf numFmtId="0" fontId="35" fillId="0" borderId="0" xfId="0" applyFont="1"/>
    <xf numFmtId="0" fontId="29" fillId="11" borderId="46" xfId="0" applyFont="1" applyFill="1" applyBorder="1" applyAlignment="1">
      <alignment horizontal="left" vertical="center"/>
    </xf>
    <xf numFmtId="0" fontId="29" fillId="11" borderId="47" xfId="0" applyFont="1" applyFill="1" applyBorder="1" applyAlignment="1">
      <alignment horizontal="left" vertical="center"/>
    </xf>
    <xf numFmtId="0" fontId="26" fillId="6" borderId="5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26" fillId="6" borderId="28" xfId="0" applyFont="1" applyFill="1" applyBorder="1" applyAlignment="1">
      <alignment horizontal="left" vertical="center" wrapText="1"/>
    </xf>
    <xf numFmtId="0" fontId="26" fillId="6" borderId="48" xfId="0" applyFont="1" applyFill="1" applyBorder="1" applyAlignment="1">
      <alignment horizontal="left" vertical="center" wrapText="1"/>
    </xf>
    <xf numFmtId="0" fontId="26" fillId="6" borderId="49" xfId="0" applyFont="1" applyFill="1" applyBorder="1" applyAlignment="1">
      <alignment horizontal="left" vertical="center" wrapText="1"/>
    </xf>
    <xf numFmtId="0" fontId="26" fillId="6" borderId="50" xfId="0" applyFont="1" applyFill="1" applyBorder="1" applyAlignment="1">
      <alignment horizontal="left" vertical="center" wrapText="1"/>
    </xf>
    <xf numFmtId="0" fontId="6" fillId="0" borderId="0" xfId="0" applyFont="1" applyAlignment="1">
      <alignment vertical="center" wrapText="1"/>
    </xf>
    <xf numFmtId="0" fontId="34" fillId="0" borderId="0" xfId="0" applyFont="1" applyAlignment="1">
      <alignment horizontal="left" vertical="center"/>
    </xf>
    <xf numFmtId="164" fontId="0" fillId="0" borderId="32" xfId="0" applyNumberFormat="1" applyBorder="1" applyAlignment="1">
      <alignment horizontal="center" vertical="center" wrapText="1"/>
    </xf>
    <xf numFmtId="164" fontId="27" fillId="3" borderId="47" xfId="0" applyNumberFormat="1" applyFont="1" applyFill="1" applyBorder="1" applyAlignment="1">
      <alignment horizontal="center" vertical="center" wrapText="1"/>
    </xf>
    <xf numFmtId="0" fontId="0" fillId="0" borderId="0" xfId="0" applyAlignment="1">
      <alignment vertical="center" wrapText="1"/>
    </xf>
    <xf numFmtId="0" fontId="33" fillId="0" borderId="0" xfId="0" applyFont="1" applyAlignment="1">
      <alignment horizontal="left" vertical="center"/>
    </xf>
    <xf numFmtId="0" fontId="28" fillId="0" borderId="0" xfId="0" applyFont="1" applyAlignment="1">
      <alignment horizontal="left" vertical="center"/>
    </xf>
    <xf numFmtId="0" fontId="0" fillId="0" borderId="32" xfId="0" applyBorder="1"/>
    <xf numFmtId="0" fontId="0" fillId="0" borderId="32" xfId="0" applyBorder="1" applyAlignment="1">
      <alignment horizontal="left" vertical="center" wrapText="1"/>
    </xf>
    <xf numFmtId="0" fontId="3" fillId="0" borderId="54" xfId="0" applyFont="1" applyBorder="1" applyAlignment="1">
      <alignment vertical="center" wrapText="1"/>
    </xf>
    <xf numFmtId="0" fontId="3" fillId="0" borderId="53" xfId="0" applyFont="1" applyBorder="1" applyAlignment="1">
      <alignment vertical="center" wrapText="1"/>
    </xf>
    <xf numFmtId="0" fontId="33"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26" xfId="0" applyBorder="1" applyAlignment="1">
      <alignment vertical="center"/>
    </xf>
    <xf numFmtId="0" fontId="29" fillId="11" borderId="0" xfId="0" applyFont="1" applyFill="1" applyAlignment="1">
      <alignment horizontal="center" vertical="center" wrapText="1"/>
    </xf>
    <xf numFmtId="0" fontId="29" fillId="11" borderId="14" xfId="0"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horizontal="left" wrapText="1"/>
    </xf>
    <xf numFmtId="0" fontId="54" fillId="0" borderId="0" xfId="0" applyFont="1" applyAlignment="1">
      <alignment horizontal="left" vertical="center"/>
    </xf>
    <xf numFmtId="0" fontId="39" fillId="3" borderId="6" xfId="0" applyFont="1" applyFill="1" applyBorder="1" applyAlignment="1">
      <alignment horizontal="left" vertical="center"/>
    </xf>
    <xf numFmtId="0" fontId="26" fillId="6" borderId="61"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164" fontId="0" fillId="0" borderId="47" xfId="0" applyNumberFormat="1" applyBorder="1" applyAlignment="1">
      <alignment horizontal="center"/>
    </xf>
    <xf numFmtId="6" fontId="0" fillId="0" borderId="32" xfId="0" applyNumberFormat="1" applyBorder="1" applyAlignment="1">
      <alignment horizontal="center"/>
    </xf>
    <xf numFmtId="0" fontId="6" fillId="0" borderId="0" xfId="0" applyFont="1" applyAlignment="1">
      <alignment horizontal="left" wrapText="1"/>
    </xf>
    <xf numFmtId="0" fontId="0" fillId="0" borderId="0" xfId="0" applyAlignment="1">
      <alignment horizontal="left"/>
    </xf>
    <xf numFmtId="0" fontId="5" fillId="0" borderId="0" xfId="0" applyFont="1" applyAlignment="1">
      <alignment horizontal="left" vertical="center" wrapText="1"/>
    </xf>
    <xf numFmtId="0" fontId="3" fillId="0" borderId="54" xfId="0" applyFont="1" applyBorder="1" applyAlignment="1">
      <alignment horizontal="left"/>
    </xf>
    <xf numFmtId="0" fontId="3" fillId="0" borderId="53" xfId="0" applyFont="1" applyBorder="1" applyAlignment="1">
      <alignment horizontal="left"/>
    </xf>
    <xf numFmtId="0" fontId="34" fillId="0" borderId="0" xfId="0" applyFont="1" applyAlignment="1">
      <alignment horizontal="left"/>
    </xf>
    <xf numFmtId="0" fontId="6" fillId="0" borderId="13" xfId="0" applyFont="1" applyBorder="1" applyAlignment="1">
      <alignment vertical="center"/>
    </xf>
    <xf numFmtId="0" fontId="6" fillId="0" borderId="0" xfId="0" applyFont="1" applyAlignment="1">
      <alignment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26" xfId="0" applyFont="1" applyBorder="1" applyAlignment="1">
      <alignment vertical="center"/>
    </xf>
    <xf numFmtId="0" fontId="0" fillId="0" borderId="51" xfId="0" applyBorder="1" applyAlignment="1">
      <alignment horizontal="left"/>
    </xf>
    <xf numFmtId="0" fontId="0" fillId="0" borderId="32" xfId="0" applyBorder="1" applyAlignment="1">
      <alignment horizontal="left"/>
    </xf>
    <xf numFmtId="0" fontId="5" fillId="0" borderId="42" xfId="0" applyFont="1" applyBorder="1" applyAlignment="1">
      <alignment vertical="center"/>
    </xf>
    <xf numFmtId="0" fontId="5" fillId="0" borderId="30" xfId="0" applyFont="1" applyBorder="1" applyAlignment="1">
      <alignment vertical="center"/>
    </xf>
    <xf numFmtId="0" fontId="29" fillId="11" borderId="20" xfId="0" applyFont="1" applyFill="1" applyBorder="1" applyAlignment="1">
      <alignment horizontal="center" vertical="center" wrapText="1"/>
    </xf>
    <xf numFmtId="0" fontId="29" fillId="11" borderId="21" xfId="0" applyFont="1" applyFill="1" applyBorder="1" applyAlignment="1">
      <alignment horizontal="center" vertical="center" wrapText="1"/>
    </xf>
    <xf numFmtId="0" fontId="49" fillId="0" borderId="0" xfId="0" applyFont="1"/>
    <xf numFmtId="0" fontId="51" fillId="0" borderId="0" xfId="0" applyFont="1" applyAlignment="1">
      <alignment horizontal="center" vertical="center"/>
    </xf>
    <xf numFmtId="0" fontId="25" fillId="11" borderId="7"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3" fillId="0" borderId="46" xfId="0" applyFont="1" applyBorder="1" applyAlignment="1">
      <alignment vertical="center"/>
    </xf>
    <xf numFmtId="0" fontId="32" fillId="0" borderId="47" xfId="0" applyFont="1" applyBorder="1" applyAlignment="1">
      <alignment vertical="center"/>
    </xf>
    <xf numFmtId="0" fontId="32" fillId="0" borderId="57" xfId="0" applyFont="1" applyBorder="1" applyAlignment="1">
      <alignment vertical="center"/>
    </xf>
    <xf numFmtId="8" fontId="0" fillId="0" borderId="32" xfId="0" applyNumberFormat="1" applyBorder="1" applyAlignment="1">
      <alignment horizontal="center" vertical="center" wrapText="1"/>
    </xf>
    <xf numFmtId="8" fontId="0" fillId="0" borderId="52" xfId="0" applyNumberFormat="1" applyBorder="1" applyAlignment="1">
      <alignment horizontal="center"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0" fillId="0" borderId="51" xfId="0" applyBorder="1" applyAlignment="1">
      <alignment vertical="center" wrapText="1"/>
    </xf>
    <xf numFmtId="0" fontId="0" fillId="0" borderId="32" xfId="0" applyBorder="1" applyAlignment="1">
      <alignment vertical="center" wrapText="1"/>
    </xf>
    <xf numFmtId="0" fontId="0" fillId="0" borderId="51" xfId="0" applyBorder="1" applyAlignment="1">
      <alignment horizontal="left" vertical="center" wrapText="1"/>
    </xf>
    <xf numFmtId="164" fontId="0" fillId="0" borderId="32" xfId="0" applyNumberFormat="1" applyBorder="1" applyAlignment="1">
      <alignment horizontal="left"/>
    </xf>
    <xf numFmtId="0" fontId="0" fillId="0" borderId="0" xfId="0" applyAlignment="1">
      <alignment horizontal="left" vertical="center" wrapText="1"/>
    </xf>
    <xf numFmtId="0" fontId="25" fillId="11" borderId="42" xfId="0" applyFont="1" applyFill="1" applyBorder="1" applyAlignment="1">
      <alignment horizontal="center" vertical="center" wrapText="1"/>
    </xf>
    <xf numFmtId="0" fontId="25" fillId="11" borderId="30" xfId="0" applyFont="1" applyFill="1" applyBorder="1" applyAlignment="1">
      <alignment horizontal="center" vertical="center" wrapText="1"/>
    </xf>
    <xf numFmtId="0" fontId="25" fillId="11" borderId="31" xfId="0" applyFont="1" applyFill="1" applyBorder="1" applyAlignment="1">
      <alignment horizontal="center" vertical="center" wrapText="1"/>
    </xf>
    <xf numFmtId="0" fontId="26" fillId="6" borderId="18" xfId="0" applyFont="1" applyFill="1" applyBorder="1" applyAlignment="1">
      <alignment horizontal="left" vertical="center" wrapText="1"/>
    </xf>
    <xf numFmtId="0" fontId="39" fillId="3" borderId="11" xfId="0" applyFont="1" applyFill="1" applyBorder="1" applyAlignment="1">
      <alignment horizontal="left" vertical="center"/>
    </xf>
    <xf numFmtId="0" fontId="10" fillId="11" borderId="8" xfId="0" applyFont="1" applyFill="1" applyBorder="1" applyAlignment="1">
      <alignment horizontal="center" vertical="center" wrapText="1"/>
    </xf>
    <xf numFmtId="8" fontId="39" fillId="3" borderId="6" xfId="0" applyNumberFormat="1" applyFont="1" applyFill="1" applyBorder="1" applyAlignment="1">
      <alignment horizontal="right" vertical="center"/>
    </xf>
    <xf numFmtId="8" fontId="39" fillId="3" borderId="11" xfId="0" applyNumberFormat="1" applyFont="1" applyFill="1" applyBorder="1" applyAlignment="1">
      <alignment horizontal="right" vertical="center"/>
    </xf>
    <xf numFmtId="0" fontId="10" fillId="11" borderId="56"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10" fillId="11" borderId="45" xfId="0" applyFont="1" applyFill="1" applyBorder="1" applyAlignment="1">
      <alignment horizontal="center" vertical="center" wrapText="1"/>
    </xf>
    <xf numFmtId="8" fontId="39" fillId="3" borderId="27" xfId="0" applyNumberFormat="1" applyFont="1" applyFill="1" applyBorder="1" applyAlignment="1">
      <alignment horizontal="right" vertical="center"/>
    </xf>
    <xf numFmtId="8" fontId="39" fillId="3" borderId="32" xfId="0" applyNumberFormat="1" applyFont="1" applyFill="1" applyBorder="1" applyAlignment="1">
      <alignment horizontal="right" vertical="center"/>
    </xf>
    <xf numFmtId="8" fontId="39" fillId="3" borderId="28" xfId="0" applyNumberFormat="1" applyFont="1" applyFill="1" applyBorder="1" applyAlignment="1">
      <alignment horizontal="right" vertical="center"/>
    </xf>
    <xf numFmtId="8" fontId="39" fillId="3" borderId="66" xfId="0" applyNumberFormat="1" applyFont="1" applyFill="1" applyBorder="1" applyAlignment="1">
      <alignment horizontal="right" vertical="center"/>
    </xf>
    <xf numFmtId="8" fontId="39" fillId="3" borderId="49" xfId="0" applyNumberFormat="1" applyFont="1" applyFill="1" applyBorder="1" applyAlignment="1">
      <alignment horizontal="right" vertical="center"/>
    </xf>
    <xf numFmtId="8" fontId="39" fillId="3" borderId="50" xfId="0" applyNumberFormat="1" applyFont="1" applyFill="1" applyBorder="1" applyAlignment="1">
      <alignment horizontal="right" vertical="center"/>
    </xf>
    <xf numFmtId="0" fontId="10" fillId="11" borderId="7" xfId="0" applyFont="1" applyFill="1" applyBorder="1" applyAlignment="1">
      <alignment horizontal="center" vertical="center" wrapText="1"/>
    </xf>
    <xf numFmtId="0" fontId="39" fillId="3" borderId="18" xfId="0" applyFont="1" applyFill="1" applyBorder="1" applyAlignment="1">
      <alignment horizontal="left" vertical="center"/>
    </xf>
    <xf numFmtId="0" fontId="25" fillId="11" borderId="46"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25" fillId="11" borderId="6" xfId="0" applyFont="1" applyFill="1" applyBorder="1" applyAlignment="1">
      <alignment horizontal="center" vertical="center" wrapText="1"/>
    </xf>
    <xf numFmtId="0" fontId="30" fillId="0" borderId="18" xfId="0" applyFont="1" applyBorder="1"/>
    <xf numFmtId="0" fontId="0" fillId="0" borderId="6" xfId="0" applyBorder="1"/>
    <xf numFmtId="4" fontId="40" fillId="0" borderId="0" xfId="0" applyNumberFormat="1" applyFont="1"/>
    <xf numFmtId="4" fontId="41" fillId="2" borderId="33" xfId="0" applyNumberFormat="1" applyFont="1" applyFill="1" applyBorder="1" applyAlignment="1">
      <alignment horizontal="center"/>
    </xf>
    <xf numFmtId="4" fontId="41" fillId="2" borderId="32" xfId="0" applyNumberFormat="1" applyFont="1" applyFill="1" applyBorder="1" applyAlignment="1">
      <alignment horizontal="center"/>
    </xf>
    <xf numFmtId="4" fontId="41" fillId="2" borderId="34" xfId="0" applyNumberFormat="1" applyFont="1" applyFill="1" applyBorder="1" applyAlignment="1">
      <alignment horizontal="center"/>
    </xf>
    <xf numFmtId="4" fontId="41" fillId="2" borderId="6" xfId="0" applyNumberFormat="1" applyFont="1" applyFill="1" applyBorder="1" applyAlignment="1">
      <alignment horizontal="center"/>
    </xf>
    <xf numFmtId="0" fontId="0" fillId="0" borderId="0" xfId="0"/>
    <xf numFmtId="0" fontId="3" fillId="0" borderId="0" xfId="0" applyFont="1" applyAlignment="1">
      <alignment horizontal="center"/>
    </xf>
    <xf numFmtId="4" fontId="41" fillId="2" borderId="28"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cellXfs>
  <cellStyles count="4">
    <cellStyle name="Komma" xfId="2" builtinId="3"/>
    <cellStyle name="Link" xfId="1" builtinId="8"/>
    <cellStyle name="Normal" xfId="0" builtinId="0"/>
    <cellStyle name="Valuta" xfId="3" builtinId="4"/>
  </cellStyles>
  <dxfs count="0"/>
  <tableStyles count="0" defaultTableStyle="TableStyleMedium2" defaultPivotStyle="PivotStyleLight16"/>
  <colors>
    <mruColors>
      <color rgb="FF003FC2"/>
      <color rgb="FFFF5955"/>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1"/>
  <sheetViews>
    <sheetView showGridLines="0" showRowColHeaders="0" tabSelected="1" topLeftCell="A11" zoomScale="160" zoomScaleNormal="160" workbookViewId="0">
      <selection activeCell="C6" sqref="C6:F6"/>
    </sheetView>
  </sheetViews>
  <sheetFormatPr baseColWidth="10" defaultColWidth="8.83203125" defaultRowHeight="15"/>
  <cols>
    <col min="1" max="1" width="4.83203125" customWidth="1"/>
    <col min="2" max="2" width="52.5" customWidth="1"/>
    <col min="3" max="3" width="6.33203125" bestFit="1" customWidth="1"/>
    <col min="4" max="4" width="18.1640625" customWidth="1"/>
    <col min="5" max="5" width="24.1640625" customWidth="1"/>
    <col min="6" max="6" width="22.6640625" customWidth="1"/>
    <col min="10" max="10" width="24.6640625" bestFit="1" customWidth="1"/>
  </cols>
  <sheetData>
    <row r="1" spans="2:12" ht="27.25" customHeight="1" thickBot="1"/>
    <row r="2" spans="2:12" ht="47.5" customHeight="1">
      <c r="B2" s="22" t="e" vm="1">
        <v>#VALUE!</v>
      </c>
      <c r="C2" s="345" t="s">
        <v>333</v>
      </c>
      <c r="D2" s="345"/>
      <c r="E2" s="345"/>
      <c r="F2" s="346"/>
      <c r="G2" s="24"/>
      <c r="H2" s="24"/>
      <c r="I2" s="24"/>
      <c r="J2" s="24"/>
      <c r="K2" s="24"/>
      <c r="L2" s="24"/>
    </row>
    <row r="3" spans="2:12" ht="16">
      <c r="B3" s="268" t="s">
        <v>135</v>
      </c>
      <c r="C3" s="353"/>
      <c r="D3" s="353"/>
      <c r="E3" s="353"/>
      <c r="F3" s="354"/>
      <c r="I3" s="25" t="s">
        <v>151</v>
      </c>
    </row>
    <row r="4" spans="2:12" ht="42.5" customHeight="1">
      <c r="B4" s="268" t="s">
        <v>296</v>
      </c>
      <c r="C4" s="353"/>
      <c r="D4" s="353"/>
      <c r="E4" s="353"/>
      <c r="F4" s="354"/>
      <c r="I4" s="25" t="s">
        <v>152</v>
      </c>
    </row>
    <row r="5" spans="2:12">
      <c r="B5" s="269" t="s">
        <v>297</v>
      </c>
      <c r="C5" s="295"/>
      <c r="D5" s="347">
        <v>37</v>
      </c>
      <c r="E5" s="347"/>
      <c r="F5" s="348"/>
    </row>
    <row r="6" spans="2:12">
      <c r="B6" s="269" t="s">
        <v>298</v>
      </c>
      <c r="C6" s="355"/>
      <c r="D6" s="355"/>
      <c r="E6" s="355"/>
      <c r="F6" s="356"/>
    </row>
    <row r="7" spans="2:12" ht="32">
      <c r="B7" s="268" t="s">
        <v>299</v>
      </c>
      <c r="C7" s="357"/>
      <c r="D7" s="357"/>
      <c r="E7" s="357"/>
      <c r="F7" s="358"/>
    </row>
    <row r="8" spans="2:12" ht="32">
      <c r="B8" s="268" t="s">
        <v>300</v>
      </c>
      <c r="C8" s="357"/>
      <c r="D8" s="357"/>
      <c r="E8" s="357"/>
      <c r="F8" s="358"/>
    </row>
    <row r="9" spans="2:12" ht="16">
      <c r="B9" s="268" t="s">
        <v>140</v>
      </c>
      <c r="C9" s="359"/>
      <c r="D9" s="360"/>
      <c r="E9" s="360"/>
      <c r="F9" s="361"/>
    </row>
    <row r="10" spans="2:12" ht="16">
      <c r="B10" s="268" t="s">
        <v>181</v>
      </c>
      <c r="C10" s="351"/>
      <c r="D10" s="351"/>
      <c r="E10" s="351"/>
      <c r="F10" s="352"/>
    </row>
    <row r="11" spans="2:12" ht="16">
      <c r="B11" s="268" t="s">
        <v>180</v>
      </c>
      <c r="C11" s="351"/>
      <c r="D11" s="351"/>
      <c r="E11" s="351"/>
      <c r="F11" s="352"/>
    </row>
    <row r="12" spans="2:12" ht="16">
      <c r="B12" s="268" t="s">
        <v>171</v>
      </c>
      <c r="C12" s="351"/>
      <c r="D12" s="351"/>
      <c r="E12" s="351"/>
      <c r="F12" s="352"/>
    </row>
    <row r="13" spans="2:12" ht="17" thickBot="1">
      <c r="B13" s="270" t="s">
        <v>172</v>
      </c>
      <c r="C13" s="379"/>
      <c r="D13" s="379"/>
      <c r="E13" s="379"/>
      <c r="F13" s="380"/>
    </row>
    <row r="15" spans="2:12" ht="19.25" customHeight="1" thickBot="1">
      <c r="F15" s="12"/>
    </row>
    <row r="16" spans="2:12" ht="29" customHeight="1" thickBot="1">
      <c r="B16" s="401" t="s">
        <v>136</v>
      </c>
      <c r="C16" s="402"/>
      <c r="D16" s="402"/>
      <c r="E16" s="402"/>
      <c r="F16" s="403"/>
    </row>
    <row r="17" spans="2:6">
      <c r="B17" s="362"/>
      <c r="C17" s="363"/>
      <c r="D17" s="363"/>
      <c r="E17" s="271" t="s">
        <v>182</v>
      </c>
      <c r="F17" s="272" t="s">
        <v>183</v>
      </c>
    </row>
    <row r="18" spans="2:6">
      <c r="B18" s="349" t="s">
        <v>137</v>
      </c>
      <c r="C18" s="350"/>
      <c r="D18" s="350"/>
      <c r="E18" s="273" t="e">
        <f>'Aktuelle data'!B49*C5/37</f>
        <v>#N/A</v>
      </c>
      <c r="F18" s="274" t="e">
        <f>E18/12</f>
        <v>#N/A</v>
      </c>
    </row>
    <row r="19" spans="2:6">
      <c r="B19" s="349" t="s">
        <v>155</v>
      </c>
      <c r="C19" s="350"/>
      <c r="D19" s="350"/>
      <c r="E19" s="273">
        <f>'Aktuelle data'!B44*'Aktuelle data'!C37*C5/37</f>
        <v>0</v>
      </c>
      <c r="F19" s="274">
        <f>E19/12</f>
        <v>0</v>
      </c>
    </row>
    <row r="20" spans="2:6">
      <c r="B20" s="349" t="s">
        <v>138</v>
      </c>
      <c r="C20" s="350"/>
      <c r="D20" s="350"/>
      <c r="E20" s="273">
        <f>C7*E51*C5/37</f>
        <v>0</v>
      </c>
      <c r="F20" s="274">
        <f t="shared" ref="F20:F21" si="0">E20/12</f>
        <v>0</v>
      </c>
    </row>
    <row r="21" spans="2:6">
      <c r="B21" s="349" t="s">
        <v>139</v>
      </c>
      <c r="C21" s="350"/>
      <c r="D21" s="350"/>
      <c r="E21" s="273">
        <f>C8*E51</f>
        <v>0</v>
      </c>
      <c r="F21" s="274">
        <f t="shared" si="0"/>
        <v>0</v>
      </c>
    </row>
    <row r="22" spans="2:6">
      <c r="B22" s="364" t="s">
        <v>141</v>
      </c>
      <c r="C22" s="365"/>
      <c r="D22" s="365"/>
      <c r="E22" s="384"/>
      <c r="F22" s="276" t="e">
        <f>C9*E39</f>
        <v>#N/A</v>
      </c>
    </row>
    <row r="23" spans="2:6">
      <c r="B23" s="364" t="s">
        <v>179</v>
      </c>
      <c r="C23" s="365"/>
      <c r="D23" s="365"/>
      <c r="E23" s="385"/>
      <c r="F23" s="276" t="e">
        <f>C10*E37</f>
        <v>#N/A</v>
      </c>
    </row>
    <row r="24" spans="2:6">
      <c r="B24" s="364" t="s">
        <v>178</v>
      </c>
      <c r="C24" s="365"/>
      <c r="D24" s="365"/>
      <c r="E24" s="385"/>
      <c r="F24" s="276" t="e">
        <f>C11*E37*1.5</f>
        <v>#N/A</v>
      </c>
    </row>
    <row r="25" spans="2:6">
      <c r="B25" s="277"/>
      <c r="C25" s="265"/>
      <c r="D25" s="265"/>
      <c r="E25" s="386"/>
      <c r="F25" s="278"/>
    </row>
    <row r="26" spans="2:6" ht="30" customHeight="1" thickBot="1">
      <c r="B26" s="369" t="s">
        <v>177</v>
      </c>
      <c r="C26" s="370"/>
      <c r="D26" s="370"/>
      <c r="E26" s="280" t="e">
        <f>SUM(E18:E21)</f>
        <v>#N/A</v>
      </c>
      <c r="F26" s="281" t="e">
        <f>E26/12</f>
        <v>#N/A</v>
      </c>
    </row>
    <row r="27" spans="2:6" ht="43.5" customHeight="1" thickBot="1">
      <c r="B27" s="337" t="s">
        <v>187</v>
      </c>
      <c r="C27" s="338"/>
      <c r="D27" s="338"/>
      <c r="E27" s="282"/>
      <c r="F27" s="283" t="e">
        <f>F18+F19+F20+F21+F22+F23+F24+F33+F34</f>
        <v>#N/A</v>
      </c>
    </row>
    <row r="28" spans="2:6" ht="16" thickBot="1">
      <c r="B28" s="397"/>
      <c r="C28" s="397"/>
      <c r="D28" s="397"/>
      <c r="E28" s="397"/>
      <c r="F28" s="397"/>
    </row>
    <row r="29" spans="2:6" ht="16" thickBot="1">
      <c r="B29" s="395" t="s">
        <v>336</v>
      </c>
      <c r="C29" s="396"/>
      <c r="D29" s="396"/>
      <c r="E29" s="332" t="e">
        <f>('Aktuelle data'!B50+Musikskolelærere!E19+Musikskolelærere!E20+Musikskolelærere!E21)*'Aktuelle data'!C38/100*C5/37</f>
        <v>#N/A</v>
      </c>
      <c r="F29" s="286" t="e">
        <f>E29/12+((F23+F24)*'Aktuelle data'!C38/100)</f>
        <v>#N/A</v>
      </c>
    </row>
    <row r="30" spans="2:6" ht="16" thickBot="1">
      <c r="B30" s="287"/>
      <c r="C30" s="287"/>
      <c r="D30" s="287"/>
      <c r="E30" s="287"/>
      <c r="F30" s="288"/>
    </row>
    <row r="31" spans="2:6" ht="16" thickBot="1">
      <c r="B31" s="339" t="s">
        <v>185</v>
      </c>
      <c r="C31" s="340"/>
      <c r="D31" s="341"/>
      <c r="E31" s="289" cm="1">
        <f t="array" ref="E31">_xlfn.IFS(C5&gt;=27,'Aktuelle data'!AL5,Musikskolelærere!C5&gt;=18,'Aktuelle data'!AL6,Musikskolelærere!C5&gt;=9,'Aktuelle data'!AL7,Musikskolelærere!C5&lt;9,0)</f>
        <v>0</v>
      </c>
      <c r="F31" s="333" t="e">
        <f>E26*'Aktuelle data'!C38/100</f>
        <v>#N/A</v>
      </c>
    </row>
    <row r="32" spans="2:6" ht="16" thickBot="1">
      <c r="B32" s="287"/>
      <c r="C32" s="287"/>
      <c r="D32" s="287"/>
      <c r="E32" s="287"/>
      <c r="F32" s="288"/>
    </row>
    <row r="33" spans="2:6">
      <c r="B33" s="389" t="s">
        <v>169</v>
      </c>
      <c r="C33" s="390"/>
      <c r="D33" s="390"/>
      <c r="E33" s="391"/>
      <c r="F33" s="290">
        <f>C12*'Aktuelle data'!C40</f>
        <v>0</v>
      </c>
    </row>
    <row r="34" spans="2:6" ht="16" thickBot="1">
      <c r="B34" s="392" t="s">
        <v>170</v>
      </c>
      <c r="C34" s="393"/>
      <c r="D34" s="393"/>
      <c r="E34" s="394"/>
      <c r="F34" s="291">
        <f>C13*'Aktuelle data'!C41</f>
        <v>0</v>
      </c>
    </row>
    <row r="35" spans="2:6" ht="16" thickBot="1">
      <c r="B35" s="287"/>
      <c r="C35" s="287"/>
      <c r="D35" s="287"/>
      <c r="E35" s="287"/>
      <c r="F35" s="288"/>
    </row>
    <row r="36" spans="2:6">
      <c r="B36" s="371" t="s">
        <v>280</v>
      </c>
      <c r="C36" s="372"/>
      <c r="D36" s="372"/>
      <c r="E36" s="292" t="e">
        <f>('Aktuelle data'!B49+('Aktuelle data'!B44*'Aktuelle data'!C37)+(Musikskolelærere!C7*'Aktuelle data'!C37)+(Musikskolelærere!C8*'Aktuelle data'!C37))</f>
        <v>#N/A</v>
      </c>
      <c r="F36" s="288"/>
    </row>
    <row r="37" spans="2:6">
      <c r="B37" s="349" t="s">
        <v>144</v>
      </c>
      <c r="C37" s="350"/>
      <c r="D37" s="350"/>
      <c r="E37" s="293" t="e">
        <f>E36/1924</f>
        <v>#N/A</v>
      </c>
      <c r="F37" s="288"/>
    </row>
    <row r="38" spans="2:6">
      <c r="B38" s="373" t="s">
        <v>281</v>
      </c>
      <c r="C38" s="374"/>
      <c r="D38" s="375"/>
      <c r="E38" s="294" t="e">
        <f>E37+(E37*'Aktuelle data'!C38/3/100)</f>
        <v>#N/A</v>
      </c>
      <c r="F38" s="288"/>
    </row>
    <row r="39" spans="2:6" ht="16" thickBot="1">
      <c r="B39" s="387" t="s">
        <v>338</v>
      </c>
      <c r="C39" s="388"/>
      <c r="D39" s="388"/>
      <c r="E39" s="281" t="e">
        <f>E37/4</f>
        <v>#N/A</v>
      </c>
      <c r="F39" s="288"/>
    </row>
    <row r="40" spans="2:6" ht="16" thickBot="1">
      <c r="B40" s="265"/>
      <c r="C40" s="265"/>
      <c r="D40" s="265"/>
      <c r="E40" s="265"/>
      <c r="F40" s="265"/>
    </row>
    <row r="41" spans="2:6" ht="25" thickBot="1">
      <c r="B41" s="366" t="s">
        <v>156</v>
      </c>
      <c r="C41" s="367"/>
      <c r="D41" s="367"/>
      <c r="E41" s="367"/>
      <c r="F41" s="368"/>
    </row>
    <row r="42" spans="2:6" s="13" customFormat="1">
      <c r="B42" s="334" t="s">
        <v>153</v>
      </c>
      <c r="C42" s="335"/>
      <c r="D42" s="335"/>
      <c r="E42" s="335"/>
      <c r="F42" s="336"/>
    </row>
    <row r="43" spans="2:6" ht="27.75" customHeight="1">
      <c r="B43" s="398" t="s">
        <v>196</v>
      </c>
      <c r="C43" s="399"/>
      <c r="D43" s="399"/>
      <c r="E43" s="399"/>
      <c r="F43" s="400"/>
    </row>
    <row r="44" spans="2:6" ht="59" customHeight="1">
      <c r="B44" s="342" t="s">
        <v>197</v>
      </c>
      <c r="C44" s="343"/>
      <c r="D44" s="343"/>
      <c r="E44" s="343"/>
      <c r="F44" s="344"/>
    </row>
    <row r="45" spans="2:6" ht="41.5" customHeight="1" thickBot="1">
      <c r="B45" s="381" t="s">
        <v>337</v>
      </c>
      <c r="C45" s="382"/>
      <c r="D45" s="382"/>
      <c r="E45" s="382"/>
      <c r="F45" s="383"/>
    </row>
    <row r="46" spans="2:6" ht="16" thickBot="1">
      <c r="B46" s="376" t="s">
        <v>188</v>
      </c>
      <c r="C46" s="377"/>
      <c r="D46" s="377"/>
      <c r="E46" s="377"/>
      <c r="F46" s="378"/>
    </row>
    <row r="47" spans="2:6">
      <c r="B47" s="20"/>
      <c r="C47" s="20"/>
      <c r="D47" s="20"/>
      <c r="E47" s="20"/>
      <c r="F47" s="20"/>
    </row>
    <row r="48" spans="2:6" ht="29">
      <c r="B48" s="14" t="s">
        <v>145</v>
      </c>
      <c r="C48" s="15"/>
      <c r="D48" s="16"/>
      <c r="E48" s="15" t="e">
        <f>'Aktuelle data'!B46</f>
        <v>#N/A</v>
      </c>
      <c r="F48" s="20"/>
    </row>
    <row r="49" spans="2:6" ht="29">
      <c r="B49" s="14" t="s">
        <v>137</v>
      </c>
      <c r="C49" s="15"/>
      <c r="D49" s="16"/>
      <c r="E49" s="17" t="e">
        <f>'Aktuelle data'!B49</f>
        <v>#N/A</v>
      </c>
      <c r="F49" s="20"/>
    </row>
    <row r="50" spans="2:6" ht="29">
      <c r="B50" s="14" t="s">
        <v>164</v>
      </c>
      <c r="C50" s="15"/>
      <c r="D50" s="16"/>
      <c r="E50" s="17" t="e">
        <f>'Aktuelle data'!B50</f>
        <v>#N/A</v>
      </c>
      <c r="F50" s="20"/>
    </row>
    <row r="51" spans="2:6" ht="29">
      <c r="B51" s="14" t="s">
        <v>149</v>
      </c>
      <c r="C51" s="15"/>
      <c r="D51" s="16"/>
      <c r="E51" s="18">
        <f>'Aktuelle data'!C37</f>
        <v>1.5981590000000001</v>
      </c>
      <c r="F51" s="20"/>
    </row>
    <row r="52" spans="2:6">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row r="57" spans="2:6">
      <c r="B57" s="20"/>
      <c r="C57" s="20"/>
      <c r="D57" s="20"/>
      <c r="E57" s="20"/>
      <c r="F57" s="20"/>
    </row>
    <row r="58" spans="2:6">
      <c r="B58" s="20"/>
      <c r="C58" s="20"/>
      <c r="D58" s="20"/>
      <c r="E58" s="20"/>
      <c r="F58" s="20"/>
    </row>
    <row r="59" spans="2:6">
      <c r="B59" s="20"/>
      <c r="C59" s="20"/>
      <c r="D59" s="20"/>
      <c r="E59" s="20"/>
      <c r="F59" s="20"/>
    </row>
    <row r="60" spans="2:6">
      <c r="B60" s="20"/>
      <c r="C60" s="20"/>
      <c r="D60" s="20"/>
      <c r="E60" s="20"/>
      <c r="F60" s="20"/>
    </row>
    <row r="61" spans="2:6">
      <c r="B61" s="20"/>
      <c r="C61" s="20"/>
      <c r="D61" s="20"/>
      <c r="E61" s="20"/>
      <c r="F61" s="20"/>
    </row>
    <row r="62" spans="2:6">
      <c r="B62" s="20"/>
      <c r="C62" s="20"/>
      <c r="D62" s="20"/>
      <c r="E62" s="20"/>
      <c r="F62" s="20"/>
    </row>
    <row r="63" spans="2:6">
      <c r="B63" s="20"/>
      <c r="C63" s="20"/>
      <c r="D63" s="20"/>
      <c r="E63" s="20"/>
      <c r="F63" s="20"/>
    </row>
    <row r="64" spans="2:6">
      <c r="B64" s="20"/>
      <c r="C64" s="20"/>
      <c r="D64" s="20"/>
      <c r="E64" s="20"/>
      <c r="F64" s="20"/>
    </row>
    <row r="65" spans="2:6">
      <c r="B65" s="20"/>
      <c r="C65" s="20"/>
      <c r="D65" s="20"/>
      <c r="E65" s="20"/>
      <c r="F65" s="20"/>
    </row>
    <row r="66" spans="2:6">
      <c r="B66" s="20"/>
      <c r="C66" s="20"/>
      <c r="D66" s="20"/>
      <c r="E66" s="20"/>
      <c r="F66" s="20"/>
    </row>
    <row r="67" spans="2:6">
      <c r="B67" s="20"/>
      <c r="C67" s="20"/>
      <c r="D67" s="20"/>
      <c r="E67" s="20"/>
      <c r="F67" s="20"/>
    </row>
    <row r="68" spans="2:6">
      <c r="B68" s="20"/>
      <c r="C68" s="20"/>
      <c r="D68" s="20"/>
      <c r="E68" s="20"/>
      <c r="F68" s="20"/>
    </row>
    <row r="69" spans="2:6">
      <c r="B69" s="20"/>
      <c r="C69" s="20"/>
      <c r="D69" s="20"/>
      <c r="E69" s="20"/>
      <c r="F69" s="20"/>
    </row>
    <row r="70" spans="2:6">
      <c r="B70" s="20"/>
      <c r="C70" s="20"/>
      <c r="D70" s="20"/>
      <c r="E70" s="20"/>
      <c r="F70" s="20"/>
    </row>
    <row r="71" spans="2:6">
      <c r="B71" s="20"/>
      <c r="C71" s="20"/>
      <c r="D71" s="20"/>
      <c r="E71" s="20"/>
      <c r="F71" s="20"/>
    </row>
  </sheetData>
  <sheetProtection algorithmName="SHA-512" hashValue="S+qoq3tIgkrCvJJWiV/b/o8UCgIsmB/PnjMSXhxt+SCvyyTp24frkv+FCU9DL2sx94ivbob6U2ZNRk7btnjM0Q==" saltValue="n2SCF70Rq2Q7qOPfzJBYQQ==" spinCount="100000" sheet="1" selectLockedCells="1"/>
  <mergeCells count="39">
    <mergeCell ref="B46:F46"/>
    <mergeCell ref="C12:F12"/>
    <mergeCell ref="C13:F13"/>
    <mergeCell ref="B45:F45"/>
    <mergeCell ref="E22:E25"/>
    <mergeCell ref="B37:D37"/>
    <mergeCell ref="B39:D39"/>
    <mergeCell ref="B33:E33"/>
    <mergeCell ref="B34:E34"/>
    <mergeCell ref="B29:D29"/>
    <mergeCell ref="B28:F28"/>
    <mergeCell ref="B23:D23"/>
    <mergeCell ref="B43:F43"/>
    <mergeCell ref="B16:F16"/>
    <mergeCell ref="B18:D18"/>
    <mergeCell ref="B22:D22"/>
    <mergeCell ref="B17:D17"/>
    <mergeCell ref="B24:D24"/>
    <mergeCell ref="B19:D19"/>
    <mergeCell ref="B41:F41"/>
    <mergeCell ref="B26:D26"/>
    <mergeCell ref="B36:D36"/>
    <mergeCell ref="B38:D38"/>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12-A063-3E42-8CFD-F64B9A8B4C06}">
  <dimension ref="A1:H36"/>
  <sheetViews>
    <sheetView workbookViewId="0">
      <selection activeCell="C20" sqref="C20"/>
    </sheetView>
  </sheetViews>
  <sheetFormatPr baseColWidth="10" defaultColWidth="8.83203125" defaultRowHeight="15"/>
  <cols>
    <col min="1" max="1" width="45.33203125" customWidth="1"/>
    <col min="2" max="2" width="14" bestFit="1" customWidth="1"/>
    <col min="3" max="3" width="14.1640625" bestFit="1" customWidth="1"/>
    <col min="4" max="4" width="20.83203125" bestFit="1" customWidth="1"/>
    <col min="5" max="5" width="15.1640625" bestFit="1" customWidth="1"/>
    <col min="6" max="6" width="14.1640625" bestFit="1" customWidth="1"/>
    <col min="7" max="7" width="13.1640625" bestFit="1" customWidth="1"/>
  </cols>
  <sheetData>
    <row r="1" spans="1:8">
      <c r="A1" s="28" t="s">
        <v>306</v>
      </c>
      <c r="H1" t="s">
        <v>307</v>
      </c>
    </row>
    <row r="2" spans="1:8">
      <c r="A2" t="s">
        <v>149</v>
      </c>
      <c r="B2" s="249">
        <v>1.4940180000000001</v>
      </c>
    </row>
    <row r="3" spans="1:8">
      <c r="A3" t="s">
        <v>308</v>
      </c>
      <c r="B3" s="306">
        <v>407973</v>
      </c>
      <c r="C3" s="1"/>
      <c r="D3" s="307"/>
    </row>
    <row r="4" spans="1:8">
      <c r="A4" t="s">
        <v>150</v>
      </c>
      <c r="B4" s="249">
        <v>16.61</v>
      </c>
    </row>
    <row r="5" spans="1:8">
      <c r="A5" s="28" t="s">
        <v>307</v>
      </c>
    </row>
    <row r="6" spans="1:8">
      <c r="A6" t="s">
        <v>309</v>
      </c>
      <c r="B6" s="308">
        <v>407973</v>
      </c>
    </row>
    <row r="7" spans="1:8">
      <c r="A7" t="s">
        <v>310</v>
      </c>
    </row>
    <row r="9" spans="1:8">
      <c r="C9" s="28"/>
    </row>
    <row r="10" spans="1:8">
      <c r="A10" s="28" t="s">
        <v>311</v>
      </c>
    </row>
    <row r="11" spans="1:8">
      <c r="A11" t="s">
        <v>185</v>
      </c>
      <c r="B11" s="249">
        <v>94.65</v>
      </c>
      <c r="C11" s="307"/>
    </row>
    <row r="13" spans="1:8" ht="16" thickBot="1"/>
    <row r="14" spans="1:8" ht="16" thickBot="1">
      <c r="A14" s="309" t="s">
        <v>312</v>
      </c>
      <c r="B14" s="309" t="s">
        <v>313</v>
      </c>
      <c r="C14" s="309" t="s">
        <v>314</v>
      </c>
      <c r="D14" s="310" t="s">
        <v>315</v>
      </c>
      <c r="E14" s="310" t="s">
        <v>316</v>
      </c>
      <c r="F14" s="310" t="s">
        <v>317</v>
      </c>
      <c r="G14" s="310" t="s">
        <v>4</v>
      </c>
    </row>
    <row r="15" spans="1:8" ht="16" thickBot="1">
      <c r="A15" s="311" t="s">
        <v>318</v>
      </c>
      <c r="B15" s="312">
        <v>28</v>
      </c>
      <c r="C15" s="313"/>
      <c r="D15" s="314"/>
      <c r="E15" s="314"/>
      <c r="F15" s="314"/>
      <c r="G15" s="314"/>
    </row>
    <row r="16" spans="1:8" ht="16" thickBot="1">
      <c r="A16" s="311" t="s">
        <v>319</v>
      </c>
      <c r="B16" s="312">
        <v>6</v>
      </c>
      <c r="C16" s="314"/>
      <c r="D16" s="314"/>
      <c r="E16" s="314"/>
      <c r="F16" s="314"/>
      <c r="G16" s="314"/>
    </row>
    <row r="17" spans="1:7" ht="16" thickBot="1">
      <c r="A17" s="311" t="s">
        <v>320</v>
      </c>
      <c r="B17" s="312">
        <v>4</v>
      </c>
      <c r="C17" s="314"/>
      <c r="D17" s="314"/>
      <c r="E17" s="314"/>
      <c r="F17" s="314"/>
      <c r="G17" s="314"/>
    </row>
    <row r="18" spans="1:7" ht="16" thickBot="1">
      <c r="A18" s="311" t="s">
        <v>321</v>
      </c>
      <c r="B18" s="315"/>
      <c r="C18" s="314"/>
      <c r="D18" s="316">
        <v>1500</v>
      </c>
      <c r="E18" s="316">
        <f>D18*B2*30/37</f>
        <v>1817.0489189189188</v>
      </c>
      <c r="F18" s="314"/>
      <c r="G18" s="314"/>
    </row>
    <row r="19" spans="1:7" ht="16" thickBot="1">
      <c r="A19" s="311" t="s">
        <v>322</v>
      </c>
      <c r="B19" s="315"/>
      <c r="C19" s="314"/>
      <c r="D19" s="316">
        <v>10000</v>
      </c>
      <c r="E19" s="316">
        <f>D19*B2*30/37</f>
        <v>12113.659459459461</v>
      </c>
      <c r="F19" s="314"/>
      <c r="G19" s="314"/>
    </row>
    <row r="20" spans="1:7" ht="16" thickBot="1">
      <c r="A20" s="311" t="s">
        <v>323</v>
      </c>
      <c r="B20" s="317">
        <f>SUM(B15:B19)</f>
        <v>38</v>
      </c>
      <c r="C20" s="318"/>
      <c r="D20" s="316">
        <f>SUM(D18:D19)</f>
        <v>11500</v>
      </c>
      <c r="E20" s="319">
        <f>SUM(E18:E19)</f>
        <v>13930.70837837838</v>
      </c>
      <c r="F20" s="320">
        <f>C20+E20</f>
        <v>13930.70837837838</v>
      </c>
      <c r="G20" s="319">
        <f>F20/12</f>
        <v>1160.8923648648649</v>
      </c>
    </row>
    <row r="22" spans="1:7" ht="16" thickBot="1"/>
    <row r="23" spans="1:7" ht="16" thickBot="1">
      <c r="A23" s="310" t="s">
        <v>324</v>
      </c>
      <c r="B23" s="321"/>
      <c r="C23" s="321" t="s">
        <v>325</v>
      </c>
      <c r="D23" s="321" t="s">
        <v>326</v>
      </c>
      <c r="E23" s="321" t="s">
        <v>327</v>
      </c>
    </row>
    <row r="24" spans="1:7" ht="16" thickBot="1">
      <c r="A24" s="322" t="s">
        <v>137</v>
      </c>
      <c r="B24" s="323">
        <f>B6*30/37</f>
        <v>330788.91891891893</v>
      </c>
      <c r="C24" s="324"/>
      <c r="D24" s="324"/>
      <c r="E24" s="324"/>
    </row>
    <row r="25" spans="1:7" ht="16" thickBot="1">
      <c r="A25" s="322" t="s">
        <v>328</v>
      </c>
      <c r="B25" s="323">
        <f>E20</f>
        <v>13930.70837837838</v>
      </c>
      <c r="C25" s="324"/>
      <c r="D25" s="324"/>
      <c r="E25" s="324"/>
    </row>
    <row r="26" spans="1:7" ht="16" thickBot="1">
      <c r="A26" s="322" t="s">
        <v>329</v>
      </c>
      <c r="B26" s="323">
        <f>SUM(B24:B25)</f>
        <v>344719.62729729729</v>
      </c>
      <c r="C26" s="325">
        <f>B4</f>
        <v>16.61</v>
      </c>
      <c r="D26" s="326">
        <f>B26*C26/100</f>
        <v>57257.930094081079</v>
      </c>
      <c r="E26" s="327">
        <f>D26/12</f>
        <v>4771.4941745067563</v>
      </c>
    </row>
    <row r="28" spans="1:7" ht="16" thickBot="1"/>
    <row r="29" spans="1:7" ht="16" thickBot="1">
      <c r="A29" s="404" t="s">
        <v>330</v>
      </c>
      <c r="B29" s="405"/>
    </row>
    <row r="30" spans="1:7" ht="16" thickBot="1">
      <c r="A30" s="322" t="s">
        <v>280</v>
      </c>
      <c r="B30" s="328">
        <v>336162.75</v>
      </c>
    </row>
    <row r="31" spans="1:7" ht="16" thickBot="1">
      <c r="A31" s="322" t="s">
        <v>185</v>
      </c>
      <c r="B31" s="328">
        <v>1135.8</v>
      </c>
    </row>
    <row r="32" spans="1:7" ht="33" thickBot="1">
      <c r="A32" s="329" t="s">
        <v>331</v>
      </c>
      <c r="B32" s="330">
        <v>6577.32</v>
      </c>
    </row>
    <row r="34" spans="1:1" ht="16" thickBot="1"/>
    <row r="35" spans="1:1" ht="16" thickBot="1">
      <c r="A35" s="310" t="s">
        <v>332</v>
      </c>
    </row>
    <row r="36" spans="1:1" ht="16" thickBot="1">
      <c r="A36" s="331">
        <f>F20+D26+B32</f>
        <v>77765.958472459461</v>
      </c>
    </row>
  </sheetData>
  <mergeCells count="1">
    <mergeCell ref="A29:B29"/>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opLeftCell="A14" zoomScale="130" zoomScaleNormal="130" workbookViewId="0">
      <selection activeCell="C12" sqref="C12:E12"/>
    </sheetView>
  </sheetViews>
  <sheetFormatPr baseColWidth="10" defaultColWidth="8.83203125" defaultRowHeight="15"/>
  <cols>
    <col min="1" max="1" width="4.83203125" customWidth="1"/>
    <col min="2" max="2" width="31.6640625" bestFit="1" customWidth="1"/>
    <col min="3" max="3" width="5.5" customWidth="1"/>
    <col min="4" max="4" width="15.5" customWidth="1"/>
    <col min="5" max="5" width="20.1640625" customWidth="1"/>
  </cols>
  <sheetData>
    <row r="1" spans="2:7" ht="27.75" customHeight="1"/>
    <row r="2" spans="2:7" ht="99.75" customHeight="1" thickBot="1">
      <c r="C2" s="437" t="s">
        <v>334</v>
      </c>
      <c r="D2" s="437"/>
      <c r="E2" s="437"/>
    </row>
    <row r="3" spans="2:7" ht="16">
      <c r="B3" s="296" t="s">
        <v>135</v>
      </c>
      <c r="C3" s="438"/>
      <c r="D3" s="439"/>
      <c r="E3" s="440"/>
    </row>
    <row r="4" spans="2:7" ht="32">
      <c r="B4" s="268" t="s">
        <v>303</v>
      </c>
      <c r="C4" s="441"/>
      <c r="D4" s="441"/>
      <c r="E4" s="441"/>
    </row>
    <row r="5" spans="2:7">
      <c r="B5" s="269" t="s">
        <v>297</v>
      </c>
      <c r="C5" s="295"/>
      <c r="D5" s="442" t="s">
        <v>134</v>
      </c>
      <c r="E5" s="443"/>
    </row>
    <row r="6" spans="2:7">
      <c r="B6" s="269" t="s">
        <v>298</v>
      </c>
      <c r="C6" s="444"/>
      <c r="D6" s="444"/>
      <c r="E6" s="444"/>
    </row>
    <row r="7" spans="2:7">
      <c r="B7" s="269" t="s">
        <v>301</v>
      </c>
      <c r="C7" s="409"/>
      <c r="D7" s="410"/>
      <c r="E7" s="411"/>
    </row>
    <row r="8" spans="2:7" ht="32">
      <c r="B8" s="268" t="s">
        <v>189</v>
      </c>
      <c r="C8" s="434"/>
      <c r="D8" s="434"/>
      <c r="E8" s="434"/>
    </row>
    <row r="9" spans="2:7" ht="32">
      <c r="B9" s="268" t="s">
        <v>190</v>
      </c>
      <c r="C9" s="434"/>
      <c r="D9" s="434"/>
      <c r="E9" s="434"/>
      <c r="G9" s="19"/>
    </row>
    <row r="10" spans="2:7" ht="16">
      <c r="B10" s="268" t="s">
        <v>173</v>
      </c>
      <c r="C10" s="435"/>
      <c r="D10" s="435"/>
      <c r="E10" s="435"/>
      <c r="G10" s="19"/>
    </row>
    <row r="11" spans="2:7" ht="16">
      <c r="B11" s="268" t="s">
        <v>174</v>
      </c>
      <c r="C11" s="435"/>
      <c r="D11" s="435"/>
      <c r="E11" s="435"/>
      <c r="G11" s="19"/>
    </row>
    <row r="12" spans="2:7" ht="29" customHeight="1" thickBot="1">
      <c r="B12" s="270" t="s">
        <v>157</v>
      </c>
      <c r="C12" s="436">
        <v>1</v>
      </c>
      <c r="D12" s="436"/>
      <c r="E12" s="436"/>
      <c r="G12" s="19"/>
    </row>
    <row r="13" spans="2:7" ht="30" thickBot="1">
      <c r="C13" s="12"/>
      <c r="D13" s="12"/>
      <c r="E13" s="12"/>
      <c r="G13" s="19"/>
    </row>
    <row r="14" spans="2:7" ht="24">
      <c r="B14" s="297" t="s">
        <v>175</v>
      </c>
      <c r="C14" s="421" t="s">
        <v>142</v>
      </c>
      <c r="D14" s="421"/>
      <c r="E14" s="272" t="s">
        <v>143</v>
      </c>
      <c r="G14" s="19"/>
    </row>
    <row r="15" spans="2:7">
      <c r="B15" s="269" t="s">
        <v>137</v>
      </c>
      <c r="C15" s="415" t="e">
        <f>'Aktuelle data'!B59*C5/37</f>
        <v>#N/A</v>
      </c>
      <c r="D15" s="415"/>
      <c r="E15" s="274" t="e">
        <f>C15/12</f>
        <v>#N/A</v>
      </c>
      <c r="G15" s="19"/>
    </row>
    <row r="16" spans="2:7">
      <c r="B16" s="269" t="s">
        <v>191</v>
      </c>
      <c r="C16" s="415">
        <f>IF(C7="Ja",'Aktuelle data'!B56*'Aktuelle data'!C37*Musikskoleledere_mellemledere!C5/37,0)</f>
        <v>0</v>
      </c>
      <c r="D16" s="415"/>
      <c r="E16" s="274">
        <f>C16/12</f>
        <v>0</v>
      </c>
      <c r="G16" s="19"/>
    </row>
    <row r="17" spans="2:7">
      <c r="B17" s="298" t="s">
        <v>302</v>
      </c>
      <c r="C17" s="415">
        <f>Musikskoleledere_mellemledere!C8*'Aktuelle data'!C37*Musikskoleledere_mellemledere!C5/37</f>
        <v>0</v>
      </c>
      <c r="D17" s="415"/>
      <c r="E17" s="274">
        <f>C17/12</f>
        <v>0</v>
      </c>
      <c r="G17" s="19"/>
    </row>
    <row r="18" spans="2:7">
      <c r="B18" s="269" t="s">
        <v>139</v>
      </c>
      <c r="C18" s="415">
        <f>C9*'Aktuelle data'!C37</f>
        <v>0</v>
      </c>
      <c r="D18" s="415"/>
      <c r="E18" s="274">
        <f>C18/12</f>
        <v>0</v>
      </c>
      <c r="G18" s="19"/>
    </row>
    <row r="19" spans="2:7" ht="15" customHeight="1">
      <c r="B19" s="275" t="s">
        <v>158</v>
      </c>
      <c r="C19" s="415">
        <f>(C12*'Aktuelle data'!C42*'Aktuelle data'!C37)*C5/37</f>
        <v>0</v>
      </c>
      <c r="D19" s="415"/>
      <c r="E19" s="274">
        <f>C19/12</f>
        <v>0</v>
      </c>
    </row>
    <row r="20" spans="2:7" ht="30.75" customHeight="1">
      <c r="B20" s="299" t="s">
        <v>176</v>
      </c>
      <c r="C20" s="416" t="e">
        <f>C15+C16+C17+C18+C19</f>
        <v>#N/A</v>
      </c>
      <c r="D20" s="416"/>
      <c r="E20" s="274" t="e">
        <f>E15+E16+E17+E18+E19</f>
        <v>#N/A</v>
      </c>
    </row>
    <row r="21" spans="2:7" ht="33" thickBot="1">
      <c r="B21" s="279" t="s">
        <v>186</v>
      </c>
      <c r="C21" s="388"/>
      <c r="D21" s="388"/>
      <c r="E21" s="281" t="e">
        <f>E15+E16+E17+E18+E19+E27+E28</f>
        <v>#N/A</v>
      </c>
    </row>
    <row r="22" spans="2:7" ht="16" thickBot="1">
      <c r="B22" s="300"/>
      <c r="C22" s="287"/>
      <c r="D22" s="288"/>
      <c r="E22" s="288"/>
    </row>
    <row r="23" spans="2:7" ht="16" thickBot="1">
      <c r="B23" s="285" t="s">
        <v>192</v>
      </c>
      <c r="C23" s="417" t="e">
        <f>('Aktuelle data'!B60+C16+C17+C18+C19)*'Aktuelle data'!C39/100</f>
        <v>#N/A</v>
      </c>
      <c r="D23" s="418"/>
      <c r="E23" s="286" t="e">
        <f>C23/12</f>
        <v>#N/A</v>
      </c>
    </row>
    <row r="24" spans="2:7" ht="16" thickBot="1">
      <c r="B24" s="287"/>
      <c r="C24" s="287"/>
      <c r="D24" s="287"/>
      <c r="E24" s="287"/>
    </row>
    <row r="25" spans="2:7" ht="15" customHeight="1" thickBot="1">
      <c r="B25" s="301" t="s">
        <v>184</v>
      </c>
      <c r="C25" s="432"/>
      <c r="D25" s="433"/>
      <c r="E25" s="286" cm="1">
        <f t="array" ref="E25">_xlfn.IFS(C5&gt;=27,'Aktuelle data'!AN5,Musikskoleledere_mellemledere!C5&gt;=18,'Aktuelle data'!AN6,Musikskoleledere_mellemledere!C5&gt;9,'Aktuelle data'!AN7,Musikskoleledere_mellemledere!C5&lt;9,0)</f>
        <v>0</v>
      </c>
    </row>
    <row r="26" spans="2:7" ht="15" customHeight="1" thickBot="1">
      <c r="B26" s="284"/>
      <c r="C26" s="302"/>
      <c r="D26" s="303"/>
      <c r="E26" s="304"/>
    </row>
    <row r="27" spans="2:7">
      <c r="B27" s="428" t="s">
        <v>169</v>
      </c>
      <c r="C27" s="429"/>
      <c r="D27" s="429"/>
      <c r="E27" s="292">
        <f>C10*'Aktuelle data'!C40</f>
        <v>0</v>
      </c>
    </row>
    <row r="28" spans="2:7" ht="16" thickBot="1">
      <c r="B28" s="430" t="s">
        <v>170</v>
      </c>
      <c r="C28" s="431"/>
      <c r="D28" s="431"/>
      <c r="E28" s="281">
        <f>C11*'Aktuelle data'!C41</f>
        <v>0</v>
      </c>
    </row>
    <row r="29" spans="2:7" ht="15" customHeight="1" thickBot="1">
      <c r="C29" s="21"/>
      <c r="D29" s="21"/>
      <c r="E29" s="21"/>
    </row>
    <row r="30" spans="2:7" ht="24">
      <c r="B30" s="425" t="s">
        <v>156</v>
      </c>
      <c r="C30" s="426"/>
      <c r="D30" s="426"/>
      <c r="E30" s="427"/>
    </row>
    <row r="31" spans="2:7" ht="14.5" customHeight="1">
      <c r="B31" s="422" t="s">
        <v>153</v>
      </c>
      <c r="C31" s="423"/>
      <c r="D31" s="423"/>
      <c r="E31" s="424"/>
    </row>
    <row r="32" spans="2:7" ht="14.5" customHeight="1">
      <c r="B32" s="398" t="s">
        <v>195</v>
      </c>
      <c r="C32" s="399"/>
      <c r="D32" s="399"/>
      <c r="E32" s="400"/>
    </row>
    <row r="33" spans="2:6" ht="29.5" customHeight="1">
      <c r="B33" s="342" t="s">
        <v>193</v>
      </c>
      <c r="C33" s="419"/>
      <c r="D33" s="419"/>
      <c r="E33" s="420"/>
    </row>
    <row r="34" spans="2:6" ht="45.75" customHeight="1" thickBot="1">
      <c r="B34" s="412" t="s">
        <v>194</v>
      </c>
      <c r="C34" s="413"/>
      <c r="D34" s="413"/>
      <c r="E34" s="414"/>
    </row>
    <row r="35" spans="2:6" ht="31.75" customHeight="1" thickBot="1">
      <c r="B35" s="406" t="s">
        <v>188</v>
      </c>
      <c r="C35" s="407"/>
      <c r="D35" s="407"/>
      <c r="E35" s="408"/>
      <c r="F35" s="23"/>
    </row>
    <row r="36" spans="2:6" ht="29">
      <c r="B36" s="14" t="s">
        <v>149</v>
      </c>
      <c r="C36" s="15"/>
      <c r="D36" s="16"/>
      <c r="E36" s="17">
        <f>'Aktuelle data'!C39</f>
        <v>19.52</v>
      </c>
    </row>
    <row r="37" spans="2:6" ht="16">
      <c r="B37" s="14" t="s">
        <v>150</v>
      </c>
      <c r="C37" s="19"/>
      <c r="D37" s="19"/>
      <c r="E37" s="19"/>
    </row>
    <row r="38" spans="2:6">
      <c r="B38" s="19"/>
      <c r="C38" s="19"/>
      <c r="D38" s="19"/>
      <c r="E38" s="19"/>
    </row>
    <row r="39" spans="2:6">
      <c r="B39" s="19"/>
      <c r="C39" s="19"/>
      <c r="D39" s="19"/>
      <c r="E39" s="19"/>
    </row>
    <row r="40" spans="2:6">
      <c r="B40" s="19"/>
      <c r="C40" s="19"/>
      <c r="D40" s="19"/>
      <c r="E40" s="19"/>
    </row>
    <row r="41" spans="2:6">
      <c r="B41" s="19"/>
      <c r="C41" s="19"/>
      <c r="D41" s="19"/>
      <c r="E41" s="19"/>
    </row>
    <row r="42" spans="2:6">
      <c r="B42" s="19"/>
      <c r="C42" s="19"/>
      <c r="D42" s="19"/>
      <c r="E42" s="19"/>
    </row>
    <row r="43" spans="2:6">
      <c r="B43" s="19"/>
      <c r="C43" s="19"/>
      <c r="D43" s="19"/>
      <c r="E43" s="19"/>
    </row>
    <row r="44" spans="2:6">
      <c r="B44" s="19"/>
      <c r="C44" s="19"/>
      <c r="D44" s="19"/>
      <c r="E44" s="19"/>
    </row>
    <row r="45" spans="2:6">
      <c r="B45" s="19"/>
      <c r="C45" s="19"/>
      <c r="D45" s="19"/>
      <c r="E45" s="19"/>
    </row>
    <row r="46" spans="2:6">
      <c r="B46" s="19"/>
      <c r="C46" s="19"/>
      <c r="D46" s="19"/>
      <c r="E46" s="19"/>
    </row>
    <row r="47" spans="2:6">
      <c r="B47" s="19"/>
      <c r="C47" s="19"/>
      <c r="D47" s="19"/>
      <c r="E47" s="19"/>
    </row>
    <row r="48" spans="2:6">
      <c r="B48" s="19"/>
      <c r="C48" s="19"/>
      <c r="D48" s="19"/>
      <c r="E48" s="19"/>
    </row>
    <row r="49" spans="2:5">
      <c r="B49" s="19"/>
      <c r="C49" s="19"/>
      <c r="D49" s="19"/>
      <c r="E49" s="19"/>
    </row>
    <row r="50" spans="2:5">
      <c r="B50" s="19"/>
      <c r="C50" s="19"/>
      <c r="D50" s="19"/>
      <c r="E50" s="19"/>
    </row>
    <row r="51" spans="2:5">
      <c r="B51" s="19"/>
      <c r="C51" s="19"/>
      <c r="D51" s="19"/>
      <c r="E51" s="19"/>
    </row>
    <row r="52" spans="2:5">
      <c r="B52" s="19"/>
      <c r="C52" s="19"/>
      <c r="D52" s="19"/>
      <c r="E52" s="19"/>
    </row>
    <row r="53" spans="2:5">
      <c r="B53" s="19"/>
      <c r="C53" s="19"/>
      <c r="D53" s="19"/>
      <c r="E53" s="19"/>
    </row>
    <row r="54" spans="2:5">
      <c r="B54" s="19"/>
      <c r="C54" s="19"/>
      <c r="D54" s="19"/>
      <c r="E54" s="19"/>
    </row>
    <row r="55" spans="2:5">
      <c r="B55" s="19"/>
      <c r="C55" s="19"/>
      <c r="D55" s="19"/>
      <c r="E55" s="19"/>
    </row>
    <row r="56" spans="2:5">
      <c r="B56" s="19"/>
      <c r="C56" s="19"/>
      <c r="D56" s="19"/>
      <c r="E56" s="19"/>
    </row>
    <row r="57" spans="2:5">
      <c r="B57" s="19"/>
      <c r="C57" s="19"/>
      <c r="D57" s="19"/>
      <c r="E57" s="19"/>
    </row>
    <row r="58" spans="2:5">
      <c r="B58" s="19"/>
      <c r="C58" s="19"/>
      <c r="D58" s="19"/>
      <c r="E58" s="19"/>
    </row>
    <row r="59" spans="2:5">
      <c r="B59" s="19"/>
    </row>
  </sheetData>
  <sheetProtection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504"/>
  <sheetViews>
    <sheetView showGridLines="0" showRuler="0" view="pageLayout" topLeftCell="A739" zoomScale="115" zoomScaleNormal="100" zoomScalePageLayoutView="115" workbookViewId="0">
      <selection activeCell="C497" sqref="C497"/>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446" t="s">
        <v>273</v>
      </c>
      <c r="D2" s="446"/>
      <c r="E2" s="446"/>
      <c r="F2" s="446"/>
      <c r="G2" s="446"/>
      <c r="H2" s="446"/>
      <c r="I2" s="446"/>
      <c r="J2" s="446"/>
      <c r="K2" s="446"/>
      <c r="L2" s="446"/>
    </row>
    <row r="3" spans="2:12" ht="13.75" customHeight="1">
      <c r="L3" s="31"/>
    </row>
    <row r="4" spans="2:12" ht="15.5" customHeight="1">
      <c r="C4" s="236" t="s">
        <v>202</v>
      </c>
      <c r="D4" s="237" t="s">
        <v>8</v>
      </c>
      <c r="E4" s="237"/>
      <c r="F4" s="237" t="s">
        <v>9</v>
      </c>
      <c r="G4" s="266"/>
      <c r="H4" s="266" t="s">
        <v>10</v>
      </c>
      <c r="I4" s="267"/>
      <c r="J4" s="451" t="s">
        <v>11</v>
      </c>
      <c r="K4" s="452"/>
      <c r="L4" s="237" t="s">
        <v>12</v>
      </c>
    </row>
    <row r="5" spans="2:12" ht="16">
      <c r="C5" s="238">
        <v>29</v>
      </c>
      <c r="D5" s="450">
        <f>'Aktuelle data'!B8</f>
        <v>369480</v>
      </c>
      <c r="E5" s="450"/>
      <c r="F5" s="450">
        <f>'Aktuelle data'!C8</f>
        <v>373733</v>
      </c>
      <c r="G5" s="450"/>
      <c r="H5" s="450">
        <f>'Aktuelle data'!D8</f>
        <v>376675</v>
      </c>
      <c r="I5" s="450"/>
      <c r="J5" s="450">
        <f>'Aktuelle data'!E8</f>
        <v>380926</v>
      </c>
      <c r="K5" s="450"/>
      <c r="L5" s="198">
        <f>'Aktuelle data'!F8</f>
        <v>383870</v>
      </c>
    </row>
    <row r="6" spans="2:12" ht="16">
      <c r="C6" s="238">
        <v>30</v>
      </c>
      <c r="D6" s="450">
        <f>'Aktuelle data'!B9</f>
        <v>375671</v>
      </c>
      <c r="E6" s="450"/>
      <c r="F6" s="450">
        <f>'Aktuelle data'!C9</f>
        <v>379697</v>
      </c>
      <c r="G6" s="450"/>
      <c r="H6" s="450">
        <f>'Aktuelle data'!D9</f>
        <v>382486</v>
      </c>
      <c r="I6" s="450"/>
      <c r="J6" s="450">
        <f>'Aktuelle data'!E9</f>
        <v>386510</v>
      </c>
      <c r="K6" s="450"/>
      <c r="L6" s="198">
        <f>'Aktuelle data'!F9</f>
        <v>389297</v>
      </c>
    </row>
    <row r="7" spans="2:12" ht="16">
      <c r="C7" s="238">
        <v>31</v>
      </c>
      <c r="D7" s="450">
        <f>'Aktuelle data'!B10</f>
        <v>382003</v>
      </c>
      <c r="E7" s="450"/>
      <c r="F7" s="450">
        <f>'Aktuelle data'!C10</f>
        <v>385791</v>
      </c>
      <c r="G7" s="450"/>
      <c r="H7" s="450">
        <f>'Aktuelle data'!D10</f>
        <v>388412</v>
      </c>
      <c r="I7" s="450"/>
      <c r="J7" s="450">
        <f>'Aktuelle data'!E10</f>
        <v>392199</v>
      </c>
      <c r="K7" s="450"/>
      <c r="L7" s="198">
        <f>'Aktuelle data'!F10</f>
        <v>394820</v>
      </c>
    </row>
    <row r="8" spans="2:12" ht="16">
      <c r="C8" s="238">
        <v>32</v>
      </c>
      <c r="D8" s="450">
        <f>'Aktuelle data'!B11</f>
        <v>388476</v>
      </c>
      <c r="E8" s="450"/>
      <c r="F8" s="450">
        <f>'Aktuelle data'!C11</f>
        <v>392008</v>
      </c>
      <c r="G8" s="450"/>
      <c r="H8" s="450">
        <f>'Aktuelle data'!D11</f>
        <v>394452</v>
      </c>
      <c r="I8" s="450"/>
      <c r="J8" s="450">
        <f>'Aktuelle data'!E11</f>
        <v>397985</v>
      </c>
      <c r="K8" s="450"/>
      <c r="L8" s="198">
        <f>'Aktuelle data'!F11</f>
        <v>400430</v>
      </c>
    </row>
    <row r="9" spans="2:12" ht="16">
      <c r="C9" s="238">
        <v>33</v>
      </c>
      <c r="D9" s="450">
        <f>'Aktuelle data'!B12</f>
        <v>395089</v>
      </c>
      <c r="E9" s="450"/>
      <c r="F9" s="450">
        <f>'Aktuelle data'!C12</f>
        <v>398351</v>
      </c>
      <c r="G9" s="450"/>
      <c r="H9" s="450">
        <f>'Aktuelle data'!D12</f>
        <v>400609</v>
      </c>
      <c r="I9" s="450"/>
      <c r="J9" s="450">
        <f>'Aktuelle data'!E12</f>
        <v>403871</v>
      </c>
      <c r="K9" s="450"/>
      <c r="L9" s="198">
        <f>'Aktuelle data'!F12</f>
        <v>406127</v>
      </c>
    </row>
    <row r="10" spans="2:12" ht="16">
      <c r="C10" s="238">
        <v>34</v>
      </c>
      <c r="D10" s="450">
        <f>'Aktuelle data'!B13</f>
        <v>401855</v>
      </c>
      <c r="E10" s="450"/>
      <c r="F10" s="450">
        <f>'Aktuelle data'!C13</f>
        <v>404831</v>
      </c>
      <c r="G10" s="450"/>
      <c r="H10" s="450">
        <f>'Aktuelle data'!D13</f>
        <v>406889</v>
      </c>
      <c r="I10" s="450"/>
      <c r="J10" s="450">
        <f>'Aktuelle data'!E13</f>
        <v>409865</v>
      </c>
      <c r="K10" s="450"/>
      <c r="L10" s="198">
        <f>'Aktuelle data'!F13</f>
        <v>411925</v>
      </c>
    </row>
    <row r="11" spans="2:12" ht="16">
      <c r="C11" s="238">
        <v>35</v>
      </c>
      <c r="D11" s="450">
        <f>'Aktuelle data'!B14</f>
        <v>408764</v>
      </c>
      <c r="E11" s="450"/>
      <c r="F11" s="450">
        <f>'Aktuelle data'!C14</f>
        <v>411436</v>
      </c>
      <c r="G11" s="450"/>
      <c r="H11" s="450">
        <f>'Aktuelle data'!D14</f>
        <v>413285</v>
      </c>
      <c r="I11" s="450"/>
      <c r="J11" s="450">
        <f>'Aktuelle data'!E14</f>
        <v>415956</v>
      </c>
      <c r="K11" s="450"/>
      <c r="L11" s="198">
        <f>'Aktuelle data'!F14</f>
        <v>417806</v>
      </c>
    </row>
    <row r="12" spans="2:12" ht="16">
      <c r="C12" s="238">
        <v>36</v>
      </c>
      <c r="D12" s="450">
        <f>'Aktuelle data'!B15</f>
        <v>415831</v>
      </c>
      <c r="E12" s="450"/>
      <c r="F12" s="450">
        <f>'Aktuelle data'!C15</f>
        <v>418182</v>
      </c>
      <c r="G12" s="450"/>
      <c r="H12" s="450">
        <f>'Aktuelle data'!D15</f>
        <v>419807</v>
      </c>
      <c r="I12" s="450"/>
      <c r="J12" s="450">
        <f>'Aktuelle data'!E15</f>
        <v>422157</v>
      </c>
      <c r="K12" s="450"/>
      <c r="L12" s="198">
        <f>'Aktuelle data'!F15</f>
        <v>423783</v>
      </c>
    </row>
    <row r="13" spans="2:12" ht="16">
      <c r="C13" s="238">
        <v>37</v>
      </c>
      <c r="D13" s="450">
        <f>'Aktuelle data'!B16</f>
        <v>423052</v>
      </c>
      <c r="E13" s="450"/>
      <c r="F13" s="450">
        <f>'Aktuelle data'!C16</f>
        <v>425061</v>
      </c>
      <c r="G13" s="450"/>
      <c r="H13" s="450">
        <f>'Aktuelle data'!D16</f>
        <v>426453</v>
      </c>
      <c r="I13" s="450"/>
      <c r="J13" s="450">
        <f>'Aktuelle data'!E16</f>
        <v>428462</v>
      </c>
      <c r="K13" s="450"/>
      <c r="L13" s="198">
        <f>'Aktuelle data'!F16</f>
        <v>429852</v>
      </c>
    </row>
    <row r="14" spans="2:12" ht="16">
      <c r="C14" s="238">
        <v>38</v>
      </c>
      <c r="D14" s="450">
        <f>'Aktuelle data'!B17</f>
        <v>430717</v>
      </c>
      <c r="E14" s="450"/>
      <c r="F14" s="450">
        <f>'Aktuelle data'!C17</f>
        <v>432398</v>
      </c>
      <c r="G14" s="450"/>
      <c r="H14" s="450">
        <f>'Aktuelle data'!D17</f>
        <v>433563</v>
      </c>
      <c r="I14" s="450"/>
      <c r="J14" s="450">
        <f>'Aktuelle data'!E17</f>
        <v>435245</v>
      </c>
      <c r="K14" s="450"/>
      <c r="L14" s="198">
        <f>'Aktuelle data'!F17</f>
        <v>436411</v>
      </c>
    </row>
    <row r="15" spans="2:12" ht="16">
      <c r="C15" s="238">
        <v>39</v>
      </c>
      <c r="D15" s="450">
        <f>'Aktuelle data'!B18</f>
        <v>438412</v>
      </c>
      <c r="E15" s="450"/>
      <c r="F15" s="450">
        <f>'Aktuelle data'!C18</f>
        <v>439707</v>
      </c>
      <c r="G15" s="450"/>
      <c r="H15" s="450">
        <f>'Aktuelle data'!D18</f>
        <v>440603</v>
      </c>
      <c r="I15" s="450"/>
      <c r="J15" s="450">
        <f>'Aktuelle data'!E18</f>
        <v>441898</v>
      </c>
      <c r="K15" s="450"/>
      <c r="L15" s="198">
        <f>'Aktuelle data'!F18</f>
        <v>442796</v>
      </c>
    </row>
    <row r="16" spans="2:12" ht="16">
      <c r="C16" s="238">
        <v>40</v>
      </c>
      <c r="D16" s="450">
        <f>'Aktuelle data'!B19</f>
        <v>446281</v>
      </c>
      <c r="E16" s="450"/>
      <c r="F16" s="450">
        <f>'Aktuelle data'!C19</f>
        <v>447166</v>
      </c>
      <c r="G16" s="450"/>
      <c r="H16" s="450">
        <f>'Aktuelle data'!D19</f>
        <v>447780</v>
      </c>
      <c r="I16" s="450"/>
      <c r="J16" s="450">
        <f>'Aktuelle data'!E19</f>
        <v>448667</v>
      </c>
      <c r="K16" s="450"/>
      <c r="L16" s="198">
        <f>'Aktuelle data'!F19</f>
        <v>449281</v>
      </c>
    </row>
    <row r="17" spans="3:12" ht="16">
      <c r="C17" s="238">
        <v>41</v>
      </c>
      <c r="D17" s="450">
        <f>'Aktuelle data'!B20</f>
        <v>454321</v>
      </c>
      <c r="E17" s="450"/>
      <c r="F17" s="450">
        <f>'Aktuelle data'!C20</f>
        <v>454775</v>
      </c>
      <c r="G17" s="450"/>
      <c r="H17" s="450">
        <f>'Aktuelle data'!D20</f>
        <v>455091</v>
      </c>
      <c r="I17" s="450"/>
      <c r="J17" s="450">
        <f>'Aktuelle data'!E20</f>
        <v>455544</v>
      </c>
      <c r="K17" s="450"/>
      <c r="L17" s="198">
        <f>'Aktuelle data'!F20</f>
        <v>455860</v>
      </c>
    </row>
    <row r="18" spans="3:12" ht="16">
      <c r="C18" s="238">
        <v>42</v>
      </c>
      <c r="D18" s="450">
        <f>'Aktuelle data'!B21</f>
        <v>462536</v>
      </c>
      <c r="E18" s="450"/>
      <c r="F18" s="450">
        <f>'Aktuelle data'!C21</f>
        <v>462536</v>
      </c>
      <c r="G18" s="450"/>
      <c r="H18" s="450">
        <f>'Aktuelle data'!D21</f>
        <v>462536</v>
      </c>
      <c r="I18" s="450"/>
      <c r="J18" s="450">
        <f>'Aktuelle data'!E21</f>
        <v>462536</v>
      </c>
      <c r="K18" s="450"/>
      <c r="L18" s="198">
        <f>'Aktuelle data'!F21</f>
        <v>462536</v>
      </c>
    </row>
    <row r="19" spans="3:12" ht="16">
      <c r="C19" s="238">
        <v>43</v>
      </c>
      <c r="D19" s="450">
        <f>'Aktuelle data'!B22</f>
        <v>472815</v>
      </c>
      <c r="E19" s="450"/>
      <c r="F19" s="450">
        <f>'Aktuelle data'!C22</f>
        <v>472815</v>
      </c>
      <c r="G19" s="450"/>
      <c r="H19" s="450">
        <f>'Aktuelle data'!D22</f>
        <v>472815</v>
      </c>
      <c r="I19" s="450"/>
      <c r="J19" s="450">
        <f>'Aktuelle data'!E22</f>
        <v>472815</v>
      </c>
      <c r="K19" s="450"/>
      <c r="L19" s="198">
        <f>'Aktuelle data'!F22</f>
        <v>472815</v>
      </c>
    </row>
    <row r="20" spans="3:12" ht="16">
      <c r="C20" s="238">
        <v>44</v>
      </c>
      <c r="D20" s="450">
        <f>'Aktuelle data'!B23</f>
        <v>483379</v>
      </c>
      <c r="E20" s="450"/>
      <c r="F20" s="450">
        <f>'Aktuelle data'!C23</f>
        <v>483379</v>
      </c>
      <c r="G20" s="450"/>
      <c r="H20" s="450">
        <f>'Aktuelle data'!D23</f>
        <v>483379</v>
      </c>
      <c r="I20" s="450"/>
      <c r="J20" s="450">
        <f>'Aktuelle data'!E23</f>
        <v>483379</v>
      </c>
      <c r="K20" s="450"/>
      <c r="L20" s="198">
        <f>'Aktuelle data'!F23</f>
        <v>483379</v>
      </c>
    </row>
    <row r="21" spans="3:12" ht="16">
      <c r="C21" s="238">
        <v>45</v>
      </c>
      <c r="D21" s="450">
        <f>'Aktuelle data'!B24</f>
        <v>494232</v>
      </c>
      <c r="E21" s="450"/>
      <c r="F21" s="450">
        <f>'Aktuelle data'!C24</f>
        <v>494232</v>
      </c>
      <c r="G21" s="450"/>
      <c r="H21" s="450">
        <f>'Aktuelle data'!D24</f>
        <v>494232</v>
      </c>
      <c r="I21" s="450"/>
      <c r="J21" s="450">
        <f>'Aktuelle data'!E24</f>
        <v>494232</v>
      </c>
      <c r="K21" s="450"/>
      <c r="L21" s="198">
        <f>'Aktuelle data'!F24</f>
        <v>494232</v>
      </c>
    </row>
    <row r="22" spans="3:12" ht="16">
      <c r="C22" s="238">
        <v>46</v>
      </c>
      <c r="D22" s="450">
        <f>'Aktuelle data'!B25</f>
        <v>505384</v>
      </c>
      <c r="E22" s="450"/>
      <c r="F22" s="450">
        <f>'Aktuelle data'!C25</f>
        <v>505384</v>
      </c>
      <c r="G22" s="450"/>
      <c r="H22" s="450">
        <f>'Aktuelle data'!D25</f>
        <v>505384</v>
      </c>
      <c r="I22" s="450"/>
      <c r="J22" s="450">
        <f>'Aktuelle data'!E25</f>
        <v>505384</v>
      </c>
      <c r="K22" s="450"/>
      <c r="L22" s="198">
        <f>'Aktuelle data'!F25</f>
        <v>505384</v>
      </c>
    </row>
    <row r="23" spans="3:12" ht="16">
      <c r="C23" s="238">
        <v>47</v>
      </c>
      <c r="D23" s="450">
        <f>'Aktuelle data'!B26</f>
        <v>514380</v>
      </c>
      <c r="E23" s="450"/>
      <c r="F23" s="450">
        <f>'Aktuelle data'!C26</f>
        <v>514380</v>
      </c>
      <c r="G23" s="450"/>
      <c r="H23" s="450">
        <f>'Aktuelle data'!D26</f>
        <v>514380</v>
      </c>
      <c r="I23" s="450"/>
      <c r="J23" s="450">
        <f>'Aktuelle data'!E26</f>
        <v>514380</v>
      </c>
      <c r="K23" s="450"/>
      <c r="L23" s="198">
        <f>'Aktuelle data'!F26</f>
        <v>514380</v>
      </c>
    </row>
    <row r="24" spans="3:12" ht="16">
      <c r="C24" s="238">
        <v>48</v>
      </c>
      <c r="D24" s="450">
        <f>'Aktuelle data'!B27</f>
        <v>538025</v>
      </c>
      <c r="E24" s="450"/>
      <c r="F24" s="450">
        <f>'Aktuelle data'!C27</f>
        <v>538025</v>
      </c>
      <c r="G24" s="450"/>
      <c r="H24" s="450">
        <f>'Aktuelle data'!D27</f>
        <v>538025</v>
      </c>
      <c r="I24" s="450"/>
      <c r="J24" s="450">
        <f>'Aktuelle data'!E27</f>
        <v>538025</v>
      </c>
      <c r="K24" s="450"/>
      <c r="L24" s="198">
        <f>'Aktuelle data'!F27</f>
        <v>538025</v>
      </c>
    </row>
    <row r="25" spans="3:12" ht="16">
      <c r="C25" s="238">
        <v>49</v>
      </c>
      <c r="D25" s="450">
        <f>'Aktuelle data'!B28</f>
        <v>574132</v>
      </c>
      <c r="E25" s="450"/>
      <c r="F25" s="450">
        <f>'Aktuelle data'!C28</f>
        <v>574132</v>
      </c>
      <c r="G25" s="450"/>
      <c r="H25" s="450">
        <f>'Aktuelle data'!D28</f>
        <v>574132</v>
      </c>
      <c r="I25" s="450"/>
      <c r="J25" s="450">
        <f>'Aktuelle data'!E28</f>
        <v>574132</v>
      </c>
      <c r="K25" s="450"/>
      <c r="L25" s="198">
        <f>'Aktuelle data'!F28</f>
        <v>574132</v>
      </c>
    </row>
    <row r="26" spans="3:12" ht="16">
      <c r="C26" s="238">
        <v>50</v>
      </c>
      <c r="D26" s="450">
        <f>'Aktuelle data'!B29</f>
        <v>614211</v>
      </c>
      <c r="E26" s="450"/>
      <c r="F26" s="450">
        <f>'Aktuelle data'!C29</f>
        <v>614211</v>
      </c>
      <c r="G26" s="450"/>
      <c r="H26" s="450">
        <f>'Aktuelle data'!D29</f>
        <v>614211</v>
      </c>
      <c r="I26" s="450"/>
      <c r="J26" s="450">
        <f>'Aktuelle data'!E29</f>
        <v>614211</v>
      </c>
      <c r="K26" s="450"/>
      <c r="L26" s="198">
        <f>'Aktuelle data'!F29</f>
        <v>614211</v>
      </c>
    </row>
    <row r="27" spans="3:12" ht="16">
      <c r="C27" s="238">
        <v>51</v>
      </c>
      <c r="D27" s="450">
        <f>'Aktuelle data'!B30</f>
        <v>678441</v>
      </c>
      <c r="E27" s="450"/>
      <c r="F27" s="450">
        <f>'Aktuelle data'!C30</f>
        <v>678441</v>
      </c>
      <c r="G27" s="450"/>
      <c r="H27" s="450">
        <f>'Aktuelle data'!D30</f>
        <v>678441</v>
      </c>
      <c r="I27" s="450"/>
      <c r="J27" s="450">
        <f>'Aktuelle data'!E30</f>
        <v>678441</v>
      </c>
      <c r="K27" s="450"/>
      <c r="L27" s="198">
        <f>'Aktuelle data'!F30</f>
        <v>678441</v>
      </c>
    </row>
    <row r="28" spans="3:12" ht="16">
      <c r="C28" s="238">
        <v>52</v>
      </c>
      <c r="D28" s="450">
        <f>'Aktuelle data'!B31</f>
        <v>771981</v>
      </c>
      <c r="E28" s="450"/>
      <c r="F28" s="450">
        <f>'Aktuelle data'!C31</f>
        <v>771981</v>
      </c>
      <c r="G28" s="450"/>
      <c r="H28" s="450">
        <f>'Aktuelle data'!D31</f>
        <v>771981</v>
      </c>
      <c r="I28" s="450"/>
      <c r="J28" s="450">
        <f>'Aktuelle data'!E31</f>
        <v>771981</v>
      </c>
      <c r="K28" s="450"/>
      <c r="L28" s="198">
        <f>'Aktuelle data'!F31</f>
        <v>771981</v>
      </c>
    </row>
    <row r="29" spans="3:12" ht="16">
      <c r="C29" s="238">
        <v>53</v>
      </c>
      <c r="D29" s="450">
        <f>'Aktuelle data'!B32</f>
        <v>847606</v>
      </c>
      <c r="E29" s="450"/>
      <c r="F29" s="450">
        <f>'Aktuelle data'!C32</f>
        <v>847606</v>
      </c>
      <c r="G29" s="450"/>
      <c r="H29" s="450">
        <f>'Aktuelle data'!D32</f>
        <v>847606</v>
      </c>
      <c r="I29" s="450"/>
      <c r="J29" s="450">
        <f>'Aktuelle data'!E32</f>
        <v>847606</v>
      </c>
      <c r="K29" s="450"/>
      <c r="L29" s="198">
        <f>'Aktuelle data'!F32</f>
        <v>847606</v>
      </c>
    </row>
    <row r="30" spans="3:12" ht="16">
      <c r="C30" s="238">
        <v>54</v>
      </c>
      <c r="D30" s="450">
        <f>'Aktuelle data'!B33</f>
        <v>948426</v>
      </c>
      <c r="E30" s="450"/>
      <c r="F30" s="450">
        <f>'Aktuelle data'!C33</f>
        <v>948426</v>
      </c>
      <c r="G30" s="450"/>
      <c r="H30" s="450">
        <f>'Aktuelle data'!D33</f>
        <v>948426</v>
      </c>
      <c r="I30" s="450"/>
      <c r="J30" s="450">
        <f>'Aktuelle data'!E33</f>
        <v>948426</v>
      </c>
      <c r="K30" s="450"/>
      <c r="L30" s="198">
        <f>'Aktuelle data'!F33</f>
        <v>948426</v>
      </c>
    </row>
    <row r="31" spans="3:12" ht="16">
      <c r="C31" s="238">
        <v>55</v>
      </c>
      <c r="D31" s="450">
        <f>'Aktuelle data'!B34</f>
        <v>1069613</v>
      </c>
      <c r="E31" s="450"/>
      <c r="F31" s="450">
        <f>'Aktuelle data'!C34</f>
        <v>1069613</v>
      </c>
      <c r="G31" s="450"/>
      <c r="H31" s="450">
        <f>'Aktuelle data'!D34</f>
        <v>1069613</v>
      </c>
      <c r="I31" s="450"/>
      <c r="J31" s="450">
        <f>'Aktuelle data'!E34</f>
        <v>1069613</v>
      </c>
      <c r="K31" s="450"/>
      <c r="L31" s="198">
        <f>'Aktuelle data'!F34</f>
        <v>1069613</v>
      </c>
    </row>
    <row r="32" spans="3:12" ht="15.5" customHeight="1">
      <c r="C32" s="238" t="s">
        <v>13</v>
      </c>
      <c r="D32" s="450">
        <f>'Aktuelle data'!B35</f>
        <v>1205506</v>
      </c>
      <c r="E32" s="450"/>
      <c r="F32" s="450">
        <f>'Aktuelle data'!C35</f>
        <v>1205506</v>
      </c>
      <c r="G32" s="450"/>
      <c r="H32" s="450">
        <f>'Aktuelle data'!D35</f>
        <v>1205506</v>
      </c>
      <c r="I32" s="450"/>
      <c r="J32" s="450">
        <f>'Aktuelle data'!E35</f>
        <v>1205506</v>
      </c>
      <c r="K32" s="450"/>
      <c r="L32" s="198">
        <f>'Aktuelle data'!F35</f>
        <v>1205506</v>
      </c>
    </row>
    <row r="34" spans="2:12">
      <c r="B34" s="32"/>
    </row>
    <row r="35" spans="2:12">
      <c r="B35" s="457" t="s">
        <v>198</v>
      </c>
      <c r="C35" s="457"/>
      <c r="D35" s="457"/>
      <c r="E35" s="457"/>
      <c r="F35" s="457"/>
      <c r="G35" s="457"/>
      <c r="H35" s="457"/>
      <c r="I35" s="457"/>
      <c r="J35" s="457"/>
      <c r="K35" s="33"/>
      <c r="L35" s="11">
        <f>1500*'Aktuelle data'!C37</f>
        <v>2397.2385000000004</v>
      </c>
    </row>
    <row r="36" spans="2:12">
      <c r="B36" s="457" t="s">
        <v>199</v>
      </c>
      <c r="C36" s="457"/>
      <c r="D36" s="457"/>
      <c r="E36" s="457"/>
      <c r="F36" s="457"/>
      <c r="G36" s="457"/>
      <c r="H36" s="457"/>
      <c r="I36" s="457"/>
      <c r="J36" s="457"/>
      <c r="K36" s="33"/>
      <c r="L36" s="11">
        <f>L35/12</f>
        <v>199.76987500000004</v>
      </c>
    </row>
    <row r="37" spans="2:12">
      <c r="B37" s="541" t="s">
        <v>200</v>
      </c>
      <c r="C37" s="541"/>
      <c r="D37" s="541"/>
      <c r="E37" s="541"/>
      <c r="F37" s="541"/>
      <c r="G37" s="541"/>
      <c r="H37" s="541"/>
      <c r="I37" s="541"/>
      <c r="J37" s="541"/>
    </row>
    <row r="65" spans="3:12" ht="21">
      <c r="C65" s="446" t="s">
        <v>201</v>
      </c>
      <c r="D65" s="446"/>
      <c r="E65" s="446"/>
      <c r="F65" s="446"/>
      <c r="G65" s="446"/>
      <c r="H65" s="446"/>
      <c r="I65" s="446"/>
      <c r="J65" s="446"/>
      <c r="K65" s="446"/>
      <c r="L65" s="446"/>
    </row>
    <row r="66" spans="3:12" ht="16" thickBot="1">
      <c r="C66" s="34"/>
      <c r="D66" s="34"/>
      <c r="E66" s="34"/>
      <c r="F66" s="34"/>
      <c r="G66" s="34"/>
      <c r="H66" s="34"/>
      <c r="I66" s="34"/>
      <c r="J66" s="34"/>
      <c r="K66" s="34"/>
      <c r="L66" s="34"/>
    </row>
    <row r="67" spans="3:12" ht="16">
      <c r="C67" s="241" t="s">
        <v>202</v>
      </c>
      <c r="D67" s="242" t="s">
        <v>8</v>
      </c>
      <c r="E67" s="242"/>
      <c r="F67" s="242" t="s">
        <v>9</v>
      </c>
      <c r="G67" s="242"/>
      <c r="H67" s="242" t="s">
        <v>10</v>
      </c>
      <c r="I67" s="242"/>
      <c r="J67" s="456" t="s">
        <v>11</v>
      </c>
      <c r="K67" s="456"/>
      <c r="L67" s="243" t="s">
        <v>12</v>
      </c>
    </row>
    <row r="68" spans="3:12" ht="16">
      <c r="C68" s="239">
        <v>29</v>
      </c>
      <c r="D68" s="449">
        <f>'Aktuelle data'!I8</f>
        <v>30790</v>
      </c>
      <c r="E68" s="449"/>
      <c r="F68" s="449">
        <f>'Aktuelle data'!J8</f>
        <v>31144.416666666668</v>
      </c>
      <c r="G68" s="449"/>
      <c r="H68" s="449">
        <f>'Aktuelle data'!K8</f>
        <v>31389.583333333332</v>
      </c>
      <c r="I68" s="449"/>
      <c r="J68" s="454">
        <f>'Aktuelle data'!L8</f>
        <v>31743.833333333332</v>
      </c>
      <c r="K68" s="454"/>
      <c r="L68" s="201">
        <f>'Aktuelle data'!M8</f>
        <v>31989.166666666668</v>
      </c>
    </row>
    <row r="69" spans="3:12" ht="16">
      <c r="C69" s="239">
        <v>30</v>
      </c>
      <c r="D69" s="449">
        <f>'Aktuelle data'!I9</f>
        <v>31305.916666666668</v>
      </c>
      <c r="E69" s="449"/>
      <c r="F69" s="449">
        <f>'Aktuelle data'!J9</f>
        <v>31641.416666666668</v>
      </c>
      <c r="G69" s="449"/>
      <c r="H69" s="449">
        <f>'Aktuelle data'!K9</f>
        <v>31873.833333333332</v>
      </c>
      <c r="I69" s="449"/>
      <c r="J69" s="454">
        <f>'Aktuelle data'!L9</f>
        <v>32209.166666666668</v>
      </c>
      <c r="K69" s="454"/>
      <c r="L69" s="201">
        <f>'Aktuelle data'!M9</f>
        <v>32441.416666666668</v>
      </c>
    </row>
    <row r="70" spans="3:12" ht="16">
      <c r="C70" s="239">
        <v>31</v>
      </c>
      <c r="D70" s="449">
        <f>'Aktuelle data'!I10</f>
        <v>31833.583333333332</v>
      </c>
      <c r="E70" s="449"/>
      <c r="F70" s="449">
        <f>'Aktuelle data'!J10</f>
        <v>32149.25</v>
      </c>
      <c r="G70" s="449"/>
      <c r="H70" s="449">
        <f>'Aktuelle data'!K10</f>
        <v>32367.666666666668</v>
      </c>
      <c r="I70" s="449"/>
      <c r="J70" s="454">
        <f>'Aktuelle data'!L10</f>
        <v>32683.25</v>
      </c>
      <c r="K70" s="454"/>
      <c r="L70" s="201">
        <f>'Aktuelle data'!M10</f>
        <v>32901.666666666664</v>
      </c>
    </row>
    <row r="71" spans="3:12" ht="16">
      <c r="C71" s="239">
        <v>32</v>
      </c>
      <c r="D71" s="449">
        <f>'Aktuelle data'!I11</f>
        <v>32373</v>
      </c>
      <c r="E71" s="449"/>
      <c r="F71" s="449">
        <f>'Aktuelle data'!J11</f>
        <v>32667.333333333332</v>
      </c>
      <c r="G71" s="449"/>
      <c r="H71" s="449">
        <f>'Aktuelle data'!K11</f>
        <v>32871</v>
      </c>
      <c r="I71" s="449"/>
      <c r="J71" s="454">
        <f>'Aktuelle data'!L11</f>
        <v>33165.416666666664</v>
      </c>
      <c r="K71" s="454"/>
      <c r="L71" s="201">
        <f>'Aktuelle data'!M11</f>
        <v>33369.166666666664</v>
      </c>
    </row>
    <row r="72" spans="3:12" ht="16">
      <c r="C72" s="239">
        <v>33</v>
      </c>
      <c r="D72" s="449">
        <f>'Aktuelle data'!I12</f>
        <v>32924.083333333336</v>
      </c>
      <c r="E72" s="449"/>
      <c r="F72" s="449">
        <f>'Aktuelle data'!J12</f>
        <v>33195.916666666664</v>
      </c>
      <c r="G72" s="449"/>
      <c r="H72" s="449">
        <f>'Aktuelle data'!K12</f>
        <v>33384.083333333336</v>
      </c>
      <c r="I72" s="449"/>
      <c r="J72" s="454">
        <f>'Aktuelle data'!L12</f>
        <v>33655.916666666664</v>
      </c>
      <c r="K72" s="454"/>
      <c r="L72" s="201">
        <f>'Aktuelle data'!M12</f>
        <v>33843.916666666664</v>
      </c>
    </row>
    <row r="73" spans="3:12" ht="16">
      <c r="C73" s="239">
        <v>34</v>
      </c>
      <c r="D73" s="449">
        <f>'Aktuelle data'!I13</f>
        <v>33487.916666666664</v>
      </c>
      <c r="E73" s="449"/>
      <c r="F73" s="449">
        <f>'Aktuelle data'!J13</f>
        <v>33735.916666666664</v>
      </c>
      <c r="G73" s="449"/>
      <c r="H73" s="449">
        <f>'Aktuelle data'!K13</f>
        <v>33907.416666666664</v>
      </c>
      <c r="I73" s="449"/>
      <c r="J73" s="454">
        <f>'Aktuelle data'!L13</f>
        <v>34155.416666666664</v>
      </c>
      <c r="K73" s="454"/>
      <c r="L73" s="201">
        <f>'Aktuelle data'!M13</f>
        <v>34327.083333333336</v>
      </c>
    </row>
    <row r="74" spans="3:12" ht="16">
      <c r="C74" s="239">
        <v>35</v>
      </c>
      <c r="D74" s="449">
        <f>'Aktuelle data'!I14</f>
        <v>34063.666666666664</v>
      </c>
      <c r="E74" s="449"/>
      <c r="F74" s="449">
        <f>'Aktuelle data'!J14</f>
        <v>34286.333333333336</v>
      </c>
      <c r="G74" s="449"/>
      <c r="H74" s="449">
        <f>'Aktuelle data'!K14</f>
        <v>34440.416666666664</v>
      </c>
      <c r="I74" s="449"/>
      <c r="J74" s="454">
        <f>'Aktuelle data'!L14</f>
        <v>34663</v>
      </c>
      <c r="K74" s="454"/>
      <c r="L74" s="201">
        <f>'Aktuelle data'!M14</f>
        <v>34817.166666666664</v>
      </c>
    </row>
    <row r="75" spans="3:12" ht="16">
      <c r="C75" s="239">
        <v>36</v>
      </c>
      <c r="D75" s="449">
        <f>'Aktuelle data'!I15</f>
        <v>34652.583333333336</v>
      </c>
      <c r="E75" s="449"/>
      <c r="F75" s="449">
        <f>'Aktuelle data'!J15</f>
        <v>34848.5</v>
      </c>
      <c r="G75" s="449"/>
      <c r="H75" s="449">
        <f>'Aktuelle data'!K15</f>
        <v>34983.916666666664</v>
      </c>
      <c r="I75" s="449"/>
      <c r="J75" s="454">
        <f>'Aktuelle data'!L15</f>
        <v>35179.75</v>
      </c>
      <c r="K75" s="454"/>
      <c r="L75" s="201">
        <f>'Aktuelle data'!M15</f>
        <v>35315.25</v>
      </c>
    </row>
    <row r="76" spans="3:12" ht="16">
      <c r="C76" s="239">
        <v>37</v>
      </c>
      <c r="D76" s="449">
        <f>'Aktuelle data'!I16</f>
        <v>35254.333333333336</v>
      </c>
      <c r="E76" s="449"/>
      <c r="F76" s="449">
        <f>'Aktuelle data'!J16</f>
        <v>35421.75</v>
      </c>
      <c r="G76" s="449"/>
      <c r="H76" s="449">
        <f>'Aktuelle data'!K16</f>
        <v>35537.75</v>
      </c>
      <c r="I76" s="449"/>
      <c r="J76" s="454">
        <f>'Aktuelle data'!L16</f>
        <v>35705.166666666664</v>
      </c>
      <c r="K76" s="454"/>
      <c r="L76" s="201">
        <f>'Aktuelle data'!M16</f>
        <v>35821</v>
      </c>
    </row>
    <row r="77" spans="3:12" ht="16">
      <c r="C77" s="239">
        <v>38</v>
      </c>
      <c r="D77" s="449">
        <f>'Aktuelle data'!I17</f>
        <v>35893.083333333336</v>
      </c>
      <c r="E77" s="449"/>
      <c r="F77" s="449">
        <f>'Aktuelle data'!J17</f>
        <v>36033.166666666664</v>
      </c>
      <c r="G77" s="449"/>
      <c r="H77" s="449">
        <f>'Aktuelle data'!K17</f>
        <v>36130.25</v>
      </c>
      <c r="I77" s="449"/>
      <c r="J77" s="454">
        <f>'Aktuelle data'!L17</f>
        <v>36270.416666666664</v>
      </c>
      <c r="K77" s="454"/>
      <c r="L77" s="201">
        <f>'Aktuelle data'!M17</f>
        <v>36367.583333333336</v>
      </c>
    </row>
    <row r="78" spans="3:12" ht="16">
      <c r="C78" s="239">
        <v>39</v>
      </c>
      <c r="D78" s="449">
        <f>'Aktuelle data'!I18</f>
        <v>36534.333333333336</v>
      </c>
      <c r="E78" s="449"/>
      <c r="F78" s="449">
        <f>'Aktuelle data'!J18</f>
        <v>36642.25</v>
      </c>
      <c r="G78" s="449"/>
      <c r="H78" s="449">
        <f>'Aktuelle data'!K18</f>
        <v>36716.916666666664</v>
      </c>
      <c r="I78" s="449"/>
      <c r="J78" s="454">
        <f>'Aktuelle data'!L18</f>
        <v>36824.833333333336</v>
      </c>
      <c r="K78" s="454"/>
      <c r="L78" s="201">
        <f>'Aktuelle data'!M18</f>
        <v>36899.666666666664</v>
      </c>
    </row>
    <row r="79" spans="3:12" ht="16">
      <c r="C79" s="239">
        <v>40</v>
      </c>
      <c r="D79" s="449">
        <f>'Aktuelle data'!I19</f>
        <v>37190.083333333336</v>
      </c>
      <c r="E79" s="449"/>
      <c r="F79" s="449">
        <f>'Aktuelle data'!J19</f>
        <v>37263.833333333336</v>
      </c>
      <c r="G79" s="449"/>
      <c r="H79" s="449">
        <f>'Aktuelle data'!K19</f>
        <v>37315</v>
      </c>
      <c r="I79" s="449"/>
      <c r="J79" s="454">
        <f>'Aktuelle data'!L19</f>
        <v>37388.916666666664</v>
      </c>
      <c r="K79" s="454"/>
      <c r="L79" s="201">
        <f>'Aktuelle data'!M19</f>
        <v>37440.083333333336</v>
      </c>
    </row>
    <row r="80" spans="3:12" ht="16">
      <c r="C80" s="239">
        <v>41</v>
      </c>
      <c r="D80" s="449">
        <f>'Aktuelle data'!I20</f>
        <v>37860.083333333336</v>
      </c>
      <c r="E80" s="449"/>
      <c r="F80" s="449">
        <f>'Aktuelle data'!J20</f>
        <v>37897.916666666664</v>
      </c>
      <c r="G80" s="449"/>
      <c r="H80" s="449">
        <f>'Aktuelle data'!K20</f>
        <v>37924.25</v>
      </c>
      <c r="I80" s="449"/>
      <c r="J80" s="454">
        <f>'Aktuelle data'!L20</f>
        <v>37962</v>
      </c>
      <c r="K80" s="454"/>
      <c r="L80" s="201">
        <f>'Aktuelle data'!M20</f>
        <v>37988.333333333336</v>
      </c>
    </row>
    <row r="81" spans="3:12" ht="16">
      <c r="C81" s="239">
        <v>42</v>
      </c>
      <c r="D81" s="449">
        <f>'Aktuelle data'!I21</f>
        <v>38544.666666666664</v>
      </c>
      <c r="E81" s="449"/>
      <c r="F81" s="449">
        <f>'Aktuelle data'!J21</f>
        <v>38544.666666666664</v>
      </c>
      <c r="G81" s="449"/>
      <c r="H81" s="449">
        <f>'Aktuelle data'!K21</f>
        <v>38544.666666666664</v>
      </c>
      <c r="I81" s="449"/>
      <c r="J81" s="454">
        <f>'Aktuelle data'!L21</f>
        <v>38544.666666666664</v>
      </c>
      <c r="K81" s="454"/>
      <c r="L81" s="201">
        <f>'Aktuelle data'!M21</f>
        <v>38544.666666666664</v>
      </c>
    </row>
    <row r="82" spans="3:12" ht="16">
      <c r="C82" s="239">
        <v>43</v>
      </c>
      <c r="D82" s="449">
        <f>'Aktuelle data'!I22</f>
        <v>39401.25</v>
      </c>
      <c r="E82" s="449"/>
      <c r="F82" s="449">
        <f>'Aktuelle data'!J22</f>
        <v>39401.25</v>
      </c>
      <c r="G82" s="449"/>
      <c r="H82" s="449">
        <f>'Aktuelle data'!K22</f>
        <v>39401.25</v>
      </c>
      <c r="I82" s="449"/>
      <c r="J82" s="454">
        <f>'Aktuelle data'!L22</f>
        <v>39401.25</v>
      </c>
      <c r="K82" s="454"/>
      <c r="L82" s="201">
        <f>'Aktuelle data'!M22</f>
        <v>39401.25</v>
      </c>
    </row>
    <row r="83" spans="3:12" ht="16">
      <c r="C83" s="239">
        <v>44</v>
      </c>
      <c r="D83" s="449">
        <f>'Aktuelle data'!I23</f>
        <v>40281.583333333336</v>
      </c>
      <c r="E83" s="449"/>
      <c r="F83" s="449">
        <f>'Aktuelle data'!J23</f>
        <v>40281.583333333336</v>
      </c>
      <c r="G83" s="449"/>
      <c r="H83" s="449">
        <f>'Aktuelle data'!K23</f>
        <v>40281.583333333336</v>
      </c>
      <c r="I83" s="449"/>
      <c r="J83" s="454">
        <f>'Aktuelle data'!L23</f>
        <v>40281.583333333336</v>
      </c>
      <c r="K83" s="454"/>
      <c r="L83" s="201">
        <f>'Aktuelle data'!M23</f>
        <v>40281.583333333336</v>
      </c>
    </row>
    <row r="84" spans="3:12" ht="16">
      <c r="C84" s="239">
        <v>45</v>
      </c>
      <c r="D84" s="449">
        <f>'Aktuelle data'!I24</f>
        <v>41186</v>
      </c>
      <c r="E84" s="449"/>
      <c r="F84" s="449">
        <f>'Aktuelle data'!J24</f>
        <v>41186</v>
      </c>
      <c r="G84" s="449"/>
      <c r="H84" s="449">
        <f>'Aktuelle data'!K24</f>
        <v>41186</v>
      </c>
      <c r="I84" s="449"/>
      <c r="J84" s="454">
        <f>'Aktuelle data'!L24</f>
        <v>41186</v>
      </c>
      <c r="K84" s="454"/>
      <c r="L84" s="201">
        <f>'Aktuelle data'!M24</f>
        <v>41186</v>
      </c>
    </row>
    <row r="85" spans="3:12" ht="16">
      <c r="C85" s="239">
        <v>46</v>
      </c>
      <c r="D85" s="449">
        <f>'Aktuelle data'!I25</f>
        <v>42115.333333333336</v>
      </c>
      <c r="E85" s="449"/>
      <c r="F85" s="449">
        <f>'Aktuelle data'!J25</f>
        <v>42115.333333333336</v>
      </c>
      <c r="G85" s="449"/>
      <c r="H85" s="449">
        <f>'Aktuelle data'!K25</f>
        <v>42115.333333333336</v>
      </c>
      <c r="I85" s="449"/>
      <c r="J85" s="454">
        <f>'Aktuelle data'!L25</f>
        <v>42115.333333333336</v>
      </c>
      <c r="K85" s="454"/>
      <c r="L85" s="201">
        <f>'Aktuelle data'!M25</f>
        <v>42115.333333333336</v>
      </c>
    </row>
    <row r="86" spans="3:12" ht="16">
      <c r="C86" s="239">
        <v>47</v>
      </c>
      <c r="D86" s="449">
        <f>'Aktuelle data'!I26</f>
        <v>42865</v>
      </c>
      <c r="E86" s="449"/>
      <c r="F86" s="449">
        <f>'Aktuelle data'!J26</f>
        <v>42865</v>
      </c>
      <c r="G86" s="449"/>
      <c r="H86" s="449">
        <f>'Aktuelle data'!K26</f>
        <v>42865</v>
      </c>
      <c r="I86" s="449"/>
      <c r="J86" s="454">
        <f>'Aktuelle data'!L26</f>
        <v>42865</v>
      </c>
      <c r="K86" s="454"/>
      <c r="L86" s="201">
        <f>'Aktuelle data'!M26</f>
        <v>42865</v>
      </c>
    </row>
    <row r="87" spans="3:12" ht="16">
      <c r="C87" s="239">
        <v>48</v>
      </c>
      <c r="D87" s="449">
        <f>'Aktuelle data'!I27</f>
        <v>44835.416666666664</v>
      </c>
      <c r="E87" s="449"/>
      <c r="F87" s="449">
        <f>'Aktuelle data'!J27</f>
        <v>44835.416666666664</v>
      </c>
      <c r="G87" s="449"/>
      <c r="H87" s="449">
        <f>'Aktuelle data'!K27</f>
        <v>44835.416666666664</v>
      </c>
      <c r="I87" s="449"/>
      <c r="J87" s="454">
        <f>'Aktuelle data'!L27</f>
        <v>44835.416666666664</v>
      </c>
      <c r="K87" s="454"/>
      <c r="L87" s="201">
        <f>'Aktuelle data'!M27</f>
        <v>44835.416666666664</v>
      </c>
    </row>
    <row r="88" spans="3:12" ht="16">
      <c r="C88" s="239">
        <v>49</v>
      </c>
      <c r="D88" s="449">
        <f>'Aktuelle data'!I28</f>
        <v>47844.333333333336</v>
      </c>
      <c r="E88" s="449"/>
      <c r="F88" s="449">
        <f>'Aktuelle data'!J28</f>
        <v>47844.333333333336</v>
      </c>
      <c r="G88" s="449"/>
      <c r="H88" s="449">
        <f>'Aktuelle data'!K28</f>
        <v>47844.333333333336</v>
      </c>
      <c r="I88" s="449"/>
      <c r="J88" s="454">
        <f>'Aktuelle data'!L28</f>
        <v>47844.333333333336</v>
      </c>
      <c r="K88" s="454"/>
      <c r="L88" s="201">
        <f>'Aktuelle data'!M28</f>
        <v>47844.333333333336</v>
      </c>
    </row>
    <row r="89" spans="3:12" ht="16">
      <c r="C89" s="239">
        <v>50</v>
      </c>
      <c r="D89" s="449">
        <f>'Aktuelle data'!I29</f>
        <v>51184.25</v>
      </c>
      <c r="E89" s="449"/>
      <c r="F89" s="449">
        <f>'Aktuelle data'!J29</f>
        <v>51184.25</v>
      </c>
      <c r="G89" s="449"/>
      <c r="H89" s="449">
        <f>'Aktuelle data'!K29</f>
        <v>51184.25</v>
      </c>
      <c r="I89" s="449"/>
      <c r="J89" s="454">
        <f>'Aktuelle data'!L29</f>
        <v>51184.25</v>
      </c>
      <c r="K89" s="454"/>
      <c r="L89" s="201">
        <f>'Aktuelle data'!M29</f>
        <v>51184.25</v>
      </c>
    </row>
    <row r="90" spans="3:12" ht="16">
      <c r="C90" s="239">
        <v>51</v>
      </c>
      <c r="D90" s="449">
        <f>'Aktuelle data'!I30</f>
        <v>56536.75</v>
      </c>
      <c r="E90" s="449"/>
      <c r="F90" s="449">
        <f>'Aktuelle data'!J30</f>
        <v>56536.75</v>
      </c>
      <c r="G90" s="449"/>
      <c r="H90" s="449">
        <f>'Aktuelle data'!K30</f>
        <v>56536.75</v>
      </c>
      <c r="I90" s="449"/>
      <c r="J90" s="454">
        <f>'Aktuelle data'!L30</f>
        <v>56536.75</v>
      </c>
      <c r="K90" s="454"/>
      <c r="L90" s="201">
        <f>'Aktuelle data'!M30</f>
        <v>56536.75</v>
      </c>
    </row>
    <row r="91" spans="3:12" ht="16">
      <c r="C91" s="239">
        <v>52</v>
      </c>
      <c r="D91" s="449">
        <f>'Aktuelle data'!I31</f>
        <v>64331.75</v>
      </c>
      <c r="E91" s="449"/>
      <c r="F91" s="449">
        <f>'Aktuelle data'!J31</f>
        <v>64331.75</v>
      </c>
      <c r="G91" s="449"/>
      <c r="H91" s="449">
        <f>'Aktuelle data'!K31</f>
        <v>64331.75</v>
      </c>
      <c r="I91" s="449"/>
      <c r="J91" s="454">
        <f>'Aktuelle data'!L31</f>
        <v>64331.75</v>
      </c>
      <c r="K91" s="454"/>
      <c r="L91" s="201">
        <f>'Aktuelle data'!M31</f>
        <v>64331.75</v>
      </c>
    </row>
    <row r="92" spans="3:12" ht="16">
      <c r="C92" s="239">
        <v>53</v>
      </c>
      <c r="D92" s="449">
        <f>'Aktuelle data'!I32</f>
        <v>70633.833333333328</v>
      </c>
      <c r="E92" s="449"/>
      <c r="F92" s="449">
        <f>'Aktuelle data'!J32</f>
        <v>70633.833333333328</v>
      </c>
      <c r="G92" s="449"/>
      <c r="H92" s="449">
        <f>'Aktuelle data'!K32</f>
        <v>70633.833333333328</v>
      </c>
      <c r="I92" s="449"/>
      <c r="J92" s="454">
        <f>'Aktuelle data'!L32</f>
        <v>70633.833333333328</v>
      </c>
      <c r="K92" s="454"/>
      <c r="L92" s="201">
        <f>'Aktuelle data'!M32</f>
        <v>70633.833333333328</v>
      </c>
    </row>
    <row r="93" spans="3:12" ht="16">
      <c r="C93" s="239">
        <v>54</v>
      </c>
      <c r="D93" s="449">
        <f>'Aktuelle data'!I33</f>
        <v>79035.5</v>
      </c>
      <c r="E93" s="449"/>
      <c r="F93" s="449">
        <f>'Aktuelle data'!J33</f>
        <v>79035.5</v>
      </c>
      <c r="G93" s="449"/>
      <c r="H93" s="449">
        <f>'Aktuelle data'!K33</f>
        <v>79035.5</v>
      </c>
      <c r="I93" s="449"/>
      <c r="J93" s="454">
        <f>'Aktuelle data'!L33</f>
        <v>79035.5</v>
      </c>
      <c r="K93" s="454"/>
      <c r="L93" s="201">
        <f>'Aktuelle data'!M33</f>
        <v>79035.5</v>
      </c>
    </row>
    <row r="94" spans="3:12" ht="16">
      <c r="C94" s="239">
        <v>55</v>
      </c>
      <c r="D94" s="449">
        <f>'Aktuelle data'!I34</f>
        <v>89134.416666666672</v>
      </c>
      <c r="E94" s="449"/>
      <c r="F94" s="449">
        <f>'Aktuelle data'!J34</f>
        <v>89134.416666666672</v>
      </c>
      <c r="G94" s="449"/>
      <c r="H94" s="449">
        <f>'Aktuelle data'!K34</f>
        <v>89134.416666666672</v>
      </c>
      <c r="I94" s="449"/>
      <c r="J94" s="454">
        <f>'Aktuelle data'!L34</f>
        <v>89134.416666666672</v>
      </c>
      <c r="K94" s="454"/>
      <c r="L94" s="201">
        <f>'Aktuelle data'!M34</f>
        <v>89134.416666666672</v>
      </c>
    </row>
    <row r="95" spans="3:12" ht="17" thickBot="1">
      <c r="C95" s="240" t="s">
        <v>13</v>
      </c>
      <c r="D95" s="453">
        <f>'Aktuelle data'!I35</f>
        <v>100458.83333333333</v>
      </c>
      <c r="E95" s="453"/>
      <c r="F95" s="453">
        <f>'Aktuelle data'!J35</f>
        <v>100458.83333333333</v>
      </c>
      <c r="G95" s="453"/>
      <c r="H95" s="453">
        <f>'Aktuelle data'!K35</f>
        <v>100458.83333333333</v>
      </c>
      <c r="I95" s="453"/>
      <c r="J95" s="455">
        <f>'Aktuelle data'!L35</f>
        <v>100458.83333333333</v>
      </c>
      <c r="K95" s="455"/>
      <c r="L95" s="202">
        <f>'Aktuelle data'!M35</f>
        <v>100458.83333333333</v>
      </c>
    </row>
    <row r="98" spans="2:12">
      <c r="B98" s="457" t="s">
        <v>198</v>
      </c>
      <c r="C98" s="457"/>
      <c r="D98" s="457"/>
      <c r="E98" s="457"/>
      <c r="F98" s="457"/>
      <c r="G98" s="457"/>
      <c r="H98" s="457"/>
      <c r="I98" s="457"/>
      <c r="J98" s="457"/>
      <c r="K98" s="33"/>
      <c r="L98" s="11">
        <f>1500*'Aktuelle data'!C37</f>
        <v>2397.2385000000004</v>
      </c>
    </row>
    <row r="99" spans="2:12">
      <c r="B99" s="457" t="s">
        <v>199</v>
      </c>
      <c r="C99" s="457"/>
      <c r="D99" s="457"/>
      <c r="E99" s="457"/>
      <c r="F99" s="457"/>
      <c r="G99" s="457"/>
      <c r="H99" s="457"/>
      <c r="I99" s="457"/>
      <c r="J99" s="457"/>
      <c r="K99" s="33"/>
      <c r="L99" s="11">
        <f>L98/12</f>
        <v>199.76987500000004</v>
      </c>
    </row>
    <row r="100" spans="2:12">
      <c r="B100" s="541" t="s">
        <v>200</v>
      </c>
      <c r="C100" s="541"/>
      <c r="D100" s="541"/>
      <c r="E100" s="541"/>
      <c r="F100" s="541"/>
      <c r="G100" s="541"/>
      <c r="H100" s="541"/>
      <c r="I100" s="541"/>
      <c r="J100" s="541"/>
    </row>
    <row r="129" spans="3:12" ht="24">
      <c r="C129" s="447" t="s">
        <v>203</v>
      </c>
      <c r="D129" s="447"/>
      <c r="E129" s="447"/>
      <c r="F129" s="447"/>
      <c r="G129" s="447"/>
      <c r="H129" s="447"/>
      <c r="I129" s="447"/>
      <c r="J129" s="447"/>
      <c r="K129" s="447"/>
      <c r="L129" s="447"/>
    </row>
    <row r="130" spans="3:12" ht="24">
      <c r="C130" s="447" t="s">
        <v>204</v>
      </c>
      <c r="D130" s="447"/>
      <c r="E130" s="447"/>
      <c r="F130" s="447"/>
      <c r="G130" s="447"/>
      <c r="H130" s="447"/>
      <c r="I130" s="447"/>
      <c r="J130" s="447"/>
      <c r="K130" s="447"/>
      <c r="L130" s="447"/>
    </row>
    <row r="131" spans="3:12" ht="14.5" customHeight="1" thickBot="1">
      <c r="C131" s="36"/>
      <c r="D131" s="36"/>
      <c r="E131" s="36"/>
      <c r="F131" s="36"/>
      <c r="G131" s="36"/>
      <c r="H131" s="36"/>
      <c r="I131" s="36"/>
      <c r="J131" s="36"/>
      <c r="K131" s="36"/>
    </row>
    <row r="132" spans="3:12" ht="16">
      <c r="C132" s="241" t="s">
        <v>202</v>
      </c>
      <c r="D132" s="242" t="s">
        <v>8</v>
      </c>
      <c r="E132" s="242"/>
      <c r="F132" s="242" t="s">
        <v>9</v>
      </c>
      <c r="G132" s="242"/>
      <c r="H132" s="242" t="s">
        <v>10</v>
      </c>
      <c r="I132" s="242"/>
      <c r="J132" s="456" t="s">
        <v>11</v>
      </c>
      <c r="K132" s="456"/>
      <c r="L132" s="243" t="s">
        <v>12</v>
      </c>
    </row>
    <row r="133" spans="3:12" ht="16">
      <c r="C133" s="239">
        <v>29</v>
      </c>
      <c r="D133" s="448">
        <f>'Aktuelle data'!P8</f>
        <v>369480</v>
      </c>
      <c r="E133" s="448"/>
      <c r="F133" s="448">
        <f>'Aktuelle data'!Q8</f>
        <v>373733</v>
      </c>
      <c r="G133" s="448"/>
      <c r="H133" s="448">
        <f>'Aktuelle data'!R8</f>
        <v>376675</v>
      </c>
      <c r="I133" s="448"/>
      <c r="J133" s="448">
        <f>'Aktuelle data'!S8</f>
        <v>380926</v>
      </c>
      <c r="K133" s="448"/>
      <c r="L133" s="199">
        <f>'Aktuelle data'!T8</f>
        <v>383870</v>
      </c>
    </row>
    <row r="134" spans="3:12" ht="16">
      <c r="C134" s="239">
        <v>30</v>
      </c>
      <c r="D134" s="448">
        <f>'Aktuelle data'!P9</f>
        <v>375671</v>
      </c>
      <c r="E134" s="448"/>
      <c r="F134" s="448">
        <f>'Aktuelle data'!Q9</f>
        <v>379697</v>
      </c>
      <c r="G134" s="448"/>
      <c r="H134" s="448">
        <f>'Aktuelle data'!R9</f>
        <v>382486</v>
      </c>
      <c r="I134" s="448"/>
      <c r="J134" s="448">
        <f>'Aktuelle data'!S9</f>
        <v>386510</v>
      </c>
      <c r="K134" s="448"/>
      <c r="L134" s="199">
        <f>'Aktuelle data'!T9</f>
        <v>389297</v>
      </c>
    </row>
    <row r="135" spans="3:12" ht="16">
      <c r="C135" s="239">
        <v>31</v>
      </c>
      <c r="D135" s="448">
        <f>'Aktuelle data'!P10</f>
        <v>382003</v>
      </c>
      <c r="E135" s="448"/>
      <c r="F135" s="448">
        <f>'Aktuelle data'!Q10</f>
        <v>385791</v>
      </c>
      <c r="G135" s="448"/>
      <c r="H135" s="448">
        <f>'Aktuelle data'!R10</f>
        <v>388412</v>
      </c>
      <c r="I135" s="448"/>
      <c r="J135" s="448">
        <f>'Aktuelle data'!S10</f>
        <v>392199</v>
      </c>
      <c r="K135" s="448"/>
      <c r="L135" s="199">
        <f>'Aktuelle data'!T10</f>
        <v>394820</v>
      </c>
    </row>
    <row r="136" spans="3:12" ht="16">
      <c r="C136" s="239">
        <v>32</v>
      </c>
      <c r="D136" s="448">
        <f>'Aktuelle data'!P11</f>
        <v>388476</v>
      </c>
      <c r="E136" s="448"/>
      <c r="F136" s="448">
        <f>'Aktuelle data'!Q11</f>
        <v>392008</v>
      </c>
      <c r="G136" s="448"/>
      <c r="H136" s="448">
        <f>'Aktuelle data'!R11</f>
        <v>394452</v>
      </c>
      <c r="I136" s="448"/>
      <c r="J136" s="448">
        <f>'Aktuelle data'!S11</f>
        <v>397985</v>
      </c>
      <c r="K136" s="448"/>
      <c r="L136" s="199">
        <f>'Aktuelle data'!T11</f>
        <v>400430</v>
      </c>
    </row>
    <row r="137" spans="3:12" ht="16">
      <c r="C137" s="239">
        <v>33</v>
      </c>
      <c r="D137" s="448">
        <f>'Aktuelle data'!P12</f>
        <v>395089</v>
      </c>
      <c r="E137" s="448"/>
      <c r="F137" s="448">
        <f>'Aktuelle data'!Q12</f>
        <v>398351</v>
      </c>
      <c r="G137" s="448"/>
      <c r="H137" s="448">
        <f>'Aktuelle data'!R12</f>
        <v>400609</v>
      </c>
      <c r="I137" s="448"/>
      <c r="J137" s="448">
        <f>'Aktuelle data'!S12</f>
        <v>403871</v>
      </c>
      <c r="K137" s="448"/>
      <c r="L137" s="199">
        <f>'Aktuelle data'!T12</f>
        <v>406127</v>
      </c>
    </row>
    <row r="138" spans="3:12" ht="16">
      <c r="C138" s="239">
        <v>34</v>
      </c>
      <c r="D138" s="448">
        <f>'Aktuelle data'!P13</f>
        <v>401855</v>
      </c>
      <c r="E138" s="448"/>
      <c r="F138" s="448">
        <f>'Aktuelle data'!Q13</f>
        <v>404831</v>
      </c>
      <c r="G138" s="448"/>
      <c r="H138" s="448">
        <f>'Aktuelle data'!R13</f>
        <v>406889</v>
      </c>
      <c r="I138" s="448"/>
      <c r="J138" s="448">
        <f>'Aktuelle data'!S13</f>
        <v>409865</v>
      </c>
      <c r="K138" s="448"/>
      <c r="L138" s="199">
        <f>'Aktuelle data'!T13</f>
        <v>411925</v>
      </c>
    </row>
    <row r="139" spans="3:12" ht="16">
      <c r="C139" s="239">
        <v>35</v>
      </c>
      <c r="D139" s="448">
        <f>'Aktuelle data'!P14</f>
        <v>408764</v>
      </c>
      <c r="E139" s="448"/>
      <c r="F139" s="448">
        <f>'Aktuelle data'!Q14</f>
        <v>411436</v>
      </c>
      <c r="G139" s="448"/>
      <c r="H139" s="448">
        <f>'Aktuelle data'!R14</f>
        <v>413285</v>
      </c>
      <c r="I139" s="448"/>
      <c r="J139" s="448">
        <f>'Aktuelle data'!S14</f>
        <v>415956</v>
      </c>
      <c r="K139" s="448"/>
      <c r="L139" s="199">
        <f>'Aktuelle data'!T14</f>
        <v>417806</v>
      </c>
    </row>
    <row r="140" spans="3:12" ht="16">
      <c r="C140" s="239">
        <v>36</v>
      </c>
      <c r="D140" s="448">
        <f>'Aktuelle data'!P15</f>
        <v>415831</v>
      </c>
      <c r="E140" s="448"/>
      <c r="F140" s="448">
        <f>'Aktuelle data'!Q15</f>
        <v>418182</v>
      </c>
      <c r="G140" s="448"/>
      <c r="H140" s="448">
        <f>'Aktuelle data'!R15</f>
        <v>419807</v>
      </c>
      <c r="I140" s="448"/>
      <c r="J140" s="448">
        <f>'Aktuelle data'!S15</f>
        <v>422157</v>
      </c>
      <c r="K140" s="448"/>
      <c r="L140" s="199">
        <f>'Aktuelle data'!T15</f>
        <v>423783</v>
      </c>
    </row>
    <row r="141" spans="3:12" ht="16">
      <c r="C141" s="239">
        <v>37</v>
      </c>
      <c r="D141" s="448">
        <f>'Aktuelle data'!P16</f>
        <v>423052</v>
      </c>
      <c r="E141" s="448"/>
      <c r="F141" s="448">
        <f>'Aktuelle data'!Q16</f>
        <v>425061</v>
      </c>
      <c r="G141" s="448"/>
      <c r="H141" s="448">
        <f>'Aktuelle data'!R16</f>
        <v>426453</v>
      </c>
      <c r="I141" s="448"/>
      <c r="J141" s="448">
        <f>'Aktuelle data'!S16</f>
        <v>428462</v>
      </c>
      <c r="K141" s="448"/>
      <c r="L141" s="199">
        <f>'Aktuelle data'!T16</f>
        <v>429852</v>
      </c>
    </row>
    <row r="142" spans="3:12" ht="16">
      <c r="C142" s="239">
        <v>38</v>
      </c>
      <c r="D142" s="448">
        <f>'Aktuelle data'!P17</f>
        <v>430717</v>
      </c>
      <c r="E142" s="448"/>
      <c r="F142" s="448">
        <f>'Aktuelle data'!Q17</f>
        <v>432398</v>
      </c>
      <c r="G142" s="448"/>
      <c r="H142" s="448">
        <f>'Aktuelle data'!R17</f>
        <v>433563</v>
      </c>
      <c r="I142" s="448"/>
      <c r="J142" s="448">
        <f>'Aktuelle data'!S17</f>
        <v>435245</v>
      </c>
      <c r="K142" s="448"/>
      <c r="L142" s="199">
        <f>'Aktuelle data'!T17</f>
        <v>436411</v>
      </c>
    </row>
    <row r="143" spans="3:12" ht="16">
      <c r="C143" s="239">
        <v>39</v>
      </c>
      <c r="D143" s="448">
        <f>'Aktuelle data'!P18</f>
        <v>438412</v>
      </c>
      <c r="E143" s="448"/>
      <c r="F143" s="448">
        <f>'Aktuelle data'!Q18</f>
        <v>439707</v>
      </c>
      <c r="G143" s="448"/>
      <c r="H143" s="448">
        <f>'Aktuelle data'!R18</f>
        <v>440603</v>
      </c>
      <c r="I143" s="448"/>
      <c r="J143" s="448">
        <f>'Aktuelle data'!S18</f>
        <v>441898</v>
      </c>
      <c r="K143" s="448"/>
      <c r="L143" s="199">
        <f>'Aktuelle data'!T18</f>
        <v>442796</v>
      </c>
    </row>
    <row r="144" spans="3:12" ht="16">
      <c r="C144" s="239">
        <v>40</v>
      </c>
      <c r="D144" s="448">
        <f>'Aktuelle data'!P19</f>
        <v>446281</v>
      </c>
      <c r="E144" s="448"/>
      <c r="F144" s="448">
        <f>'Aktuelle data'!Q19</f>
        <v>447166</v>
      </c>
      <c r="G144" s="448"/>
      <c r="H144" s="448">
        <f>'Aktuelle data'!R19</f>
        <v>447780</v>
      </c>
      <c r="I144" s="448"/>
      <c r="J144" s="448">
        <f>'Aktuelle data'!S19</f>
        <v>448667</v>
      </c>
      <c r="K144" s="448"/>
      <c r="L144" s="199">
        <f>'Aktuelle data'!T19</f>
        <v>449281</v>
      </c>
    </row>
    <row r="145" spans="3:12" ht="16">
      <c r="C145" s="239">
        <v>41</v>
      </c>
      <c r="D145" s="448">
        <f>'Aktuelle data'!P20</f>
        <v>454321</v>
      </c>
      <c r="E145" s="448"/>
      <c r="F145" s="448">
        <f>'Aktuelle data'!Q20</f>
        <v>454775</v>
      </c>
      <c r="G145" s="448"/>
      <c r="H145" s="448">
        <f>'Aktuelle data'!R20</f>
        <v>455091</v>
      </c>
      <c r="I145" s="448"/>
      <c r="J145" s="448">
        <f>'Aktuelle data'!S20</f>
        <v>455544</v>
      </c>
      <c r="K145" s="448"/>
      <c r="L145" s="199">
        <f>'Aktuelle data'!T20</f>
        <v>455860</v>
      </c>
    </row>
    <row r="146" spans="3:12" ht="16">
      <c r="C146" s="239">
        <v>42</v>
      </c>
      <c r="D146" s="448">
        <f>'Aktuelle data'!P21</f>
        <v>462536</v>
      </c>
      <c r="E146" s="448"/>
      <c r="F146" s="448">
        <f>'Aktuelle data'!Q21</f>
        <v>462536</v>
      </c>
      <c r="G146" s="448"/>
      <c r="H146" s="448">
        <f>'Aktuelle data'!R21</f>
        <v>462536</v>
      </c>
      <c r="I146" s="448"/>
      <c r="J146" s="448">
        <f>'Aktuelle data'!S21</f>
        <v>462536</v>
      </c>
      <c r="K146" s="448"/>
      <c r="L146" s="199">
        <f>'Aktuelle data'!T21</f>
        <v>462536</v>
      </c>
    </row>
    <row r="147" spans="3:12" ht="16">
      <c r="C147" s="239">
        <v>43</v>
      </c>
      <c r="D147" s="448">
        <f>'Aktuelle data'!P22</f>
        <v>472815</v>
      </c>
      <c r="E147" s="448"/>
      <c r="F147" s="448">
        <f>'Aktuelle data'!Q22</f>
        <v>472815</v>
      </c>
      <c r="G147" s="448"/>
      <c r="H147" s="448">
        <f>'Aktuelle data'!R22</f>
        <v>472815</v>
      </c>
      <c r="I147" s="448"/>
      <c r="J147" s="448">
        <f>'Aktuelle data'!S22</f>
        <v>472815</v>
      </c>
      <c r="K147" s="448"/>
      <c r="L147" s="199">
        <f>'Aktuelle data'!T22</f>
        <v>472815</v>
      </c>
    </row>
    <row r="148" spans="3:12" ht="16">
      <c r="C148" s="239">
        <v>44</v>
      </c>
      <c r="D148" s="448">
        <f>'Aktuelle data'!P23</f>
        <v>483379</v>
      </c>
      <c r="E148" s="448"/>
      <c r="F148" s="448">
        <f>'Aktuelle data'!Q23</f>
        <v>483379</v>
      </c>
      <c r="G148" s="448"/>
      <c r="H148" s="448">
        <f>'Aktuelle data'!R23</f>
        <v>483379</v>
      </c>
      <c r="I148" s="448"/>
      <c r="J148" s="448">
        <f>'Aktuelle data'!S23</f>
        <v>483379</v>
      </c>
      <c r="K148" s="448"/>
      <c r="L148" s="199">
        <f>'Aktuelle data'!T23</f>
        <v>483379</v>
      </c>
    </row>
    <row r="149" spans="3:12" ht="16">
      <c r="C149" s="239">
        <v>45</v>
      </c>
      <c r="D149" s="448">
        <f>'Aktuelle data'!P24</f>
        <v>494232</v>
      </c>
      <c r="E149" s="448"/>
      <c r="F149" s="448">
        <f>'Aktuelle data'!Q24</f>
        <v>494232</v>
      </c>
      <c r="G149" s="448"/>
      <c r="H149" s="448">
        <f>'Aktuelle data'!R24</f>
        <v>494232</v>
      </c>
      <c r="I149" s="448"/>
      <c r="J149" s="448">
        <f>'Aktuelle data'!S24</f>
        <v>494232</v>
      </c>
      <c r="K149" s="448"/>
      <c r="L149" s="199">
        <f>'Aktuelle data'!T24</f>
        <v>494232</v>
      </c>
    </row>
    <row r="150" spans="3:12" ht="16">
      <c r="C150" s="239">
        <v>46</v>
      </c>
      <c r="D150" s="448">
        <f>'Aktuelle data'!P25</f>
        <v>505384</v>
      </c>
      <c r="E150" s="448"/>
      <c r="F150" s="448">
        <f>'Aktuelle data'!Q25</f>
        <v>505384</v>
      </c>
      <c r="G150" s="448"/>
      <c r="H150" s="448">
        <f>'Aktuelle data'!R25</f>
        <v>505384</v>
      </c>
      <c r="I150" s="448"/>
      <c r="J150" s="448">
        <f>'Aktuelle data'!S25</f>
        <v>505384</v>
      </c>
      <c r="K150" s="448"/>
      <c r="L150" s="199">
        <f>'Aktuelle data'!T25</f>
        <v>505384</v>
      </c>
    </row>
    <row r="151" spans="3:12" ht="16">
      <c r="C151" s="239">
        <v>47</v>
      </c>
      <c r="D151" s="448">
        <f>'Aktuelle data'!P26</f>
        <v>514380</v>
      </c>
      <c r="E151" s="448"/>
      <c r="F151" s="448">
        <f>'Aktuelle data'!Q26</f>
        <v>514380</v>
      </c>
      <c r="G151" s="448"/>
      <c r="H151" s="448">
        <f>'Aktuelle data'!R26</f>
        <v>514380</v>
      </c>
      <c r="I151" s="448"/>
      <c r="J151" s="448">
        <f>'Aktuelle data'!S26</f>
        <v>514380</v>
      </c>
      <c r="K151" s="448"/>
      <c r="L151" s="199">
        <f>'Aktuelle data'!T26</f>
        <v>514380</v>
      </c>
    </row>
    <row r="152" spans="3:12" ht="16">
      <c r="C152" s="239">
        <v>48</v>
      </c>
      <c r="D152" s="448">
        <f>'Aktuelle data'!P27</f>
        <v>538025</v>
      </c>
      <c r="E152" s="448"/>
      <c r="F152" s="448">
        <f>'Aktuelle data'!Q27</f>
        <v>538025</v>
      </c>
      <c r="G152" s="448"/>
      <c r="H152" s="448">
        <f>'Aktuelle data'!R27</f>
        <v>538025</v>
      </c>
      <c r="I152" s="448"/>
      <c r="J152" s="448">
        <f>'Aktuelle data'!S27</f>
        <v>538025</v>
      </c>
      <c r="K152" s="448"/>
      <c r="L152" s="199">
        <f>'Aktuelle data'!T27</f>
        <v>538025</v>
      </c>
    </row>
    <row r="153" spans="3:12" ht="16">
      <c r="C153" s="239">
        <v>49</v>
      </c>
      <c r="D153" s="448">
        <f>'Aktuelle data'!P28</f>
        <v>574132</v>
      </c>
      <c r="E153" s="448"/>
      <c r="F153" s="448">
        <f>'Aktuelle data'!Q28</f>
        <v>574132</v>
      </c>
      <c r="G153" s="448"/>
      <c r="H153" s="448">
        <f>'Aktuelle data'!R28</f>
        <v>574132</v>
      </c>
      <c r="I153" s="448"/>
      <c r="J153" s="448">
        <f>'Aktuelle data'!S28</f>
        <v>574132</v>
      </c>
      <c r="K153" s="448"/>
      <c r="L153" s="199">
        <f>'Aktuelle data'!T28</f>
        <v>574132</v>
      </c>
    </row>
    <row r="154" spans="3:12" ht="16">
      <c r="C154" s="239">
        <v>50</v>
      </c>
      <c r="D154" s="448">
        <f>'Aktuelle data'!P29</f>
        <v>628698</v>
      </c>
      <c r="E154" s="448"/>
      <c r="F154" s="448">
        <f>'Aktuelle data'!Q29</f>
        <v>628698</v>
      </c>
      <c r="G154" s="448"/>
      <c r="H154" s="448">
        <f>'Aktuelle data'!R29</f>
        <v>628698</v>
      </c>
      <c r="I154" s="448"/>
      <c r="J154" s="448">
        <f>'Aktuelle data'!S29</f>
        <v>628698</v>
      </c>
      <c r="K154" s="448"/>
      <c r="L154" s="199">
        <f>'Aktuelle data'!T29</f>
        <v>628698</v>
      </c>
    </row>
    <row r="155" spans="3:12" ht="16">
      <c r="C155" s="239">
        <v>51</v>
      </c>
      <c r="D155" s="448">
        <f>'Aktuelle data'!P30</f>
        <v>696703</v>
      </c>
      <c r="E155" s="448"/>
      <c r="F155" s="448">
        <f>'Aktuelle data'!Q30</f>
        <v>696703</v>
      </c>
      <c r="G155" s="448"/>
      <c r="H155" s="448">
        <f>'Aktuelle data'!R30</f>
        <v>696703</v>
      </c>
      <c r="I155" s="448"/>
      <c r="J155" s="448">
        <f>'Aktuelle data'!S30</f>
        <v>696703</v>
      </c>
      <c r="K155" s="448"/>
      <c r="L155" s="199">
        <f>'Aktuelle data'!T30</f>
        <v>696703</v>
      </c>
    </row>
    <row r="156" spans="3:12" ht="16">
      <c r="C156" s="239">
        <v>52</v>
      </c>
      <c r="D156" s="448">
        <f>'Aktuelle data'!P31</f>
        <v>793472</v>
      </c>
      <c r="E156" s="448"/>
      <c r="F156" s="448">
        <f>'Aktuelle data'!Q31</f>
        <v>793472</v>
      </c>
      <c r="G156" s="448"/>
      <c r="H156" s="448">
        <f>'Aktuelle data'!R31</f>
        <v>793472</v>
      </c>
      <c r="I156" s="448"/>
      <c r="J156" s="448">
        <f>'Aktuelle data'!S31</f>
        <v>793472</v>
      </c>
      <c r="K156" s="448"/>
      <c r="L156" s="199">
        <f>'Aktuelle data'!T31</f>
        <v>793472</v>
      </c>
    </row>
    <row r="157" spans="3:12" ht="16">
      <c r="C157" s="239">
        <v>53</v>
      </c>
      <c r="D157" s="448">
        <f>'Aktuelle data'!P32</f>
        <v>883266</v>
      </c>
      <c r="E157" s="448"/>
      <c r="F157" s="448">
        <f>'Aktuelle data'!Q32</f>
        <v>883266</v>
      </c>
      <c r="G157" s="448"/>
      <c r="H157" s="448">
        <f>'Aktuelle data'!R32</f>
        <v>883266</v>
      </c>
      <c r="I157" s="448"/>
      <c r="J157" s="448">
        <f>'Aktuelle data'!S32</f>
        <v>883266</v>
      </c>
      <c r="K157" s="448"/>
      <c r="L157" s="199">
        <f>'Aktuelle data'!T32</f>
        <v>883266</v>
      </c>
    </row>
    <row r="158" spans="3:12" ht="16">
      <c r="C158" s="239">
        <v>54</v>
      </c>
      <c r="D158" s="448">
        <f>'Aktuelle data'!P33</f>
        <v>995180</v>
      </c>
      <c r="E158" s="448"/>
      <c r="F158" s="448">
        <f>'Aktuelle data'!Q33</f>
        <v>995180</v>
      </c>
      <c r="G158" s="448"/>
      <c r="H158" s="448">
        <f>'Aktuelle data'!R33</f>
        <v>995180</v>
      </c>
      <c r="I158" s="448"/>
      <c r="J158" s="448">
        <f>'Aktuelle data'!S33</f>
        <v>995180</v>
      </c>
      <c r="K158" s="448"/>
      <c r="L158" s="199">
        <f>'Aktuelle data'!T33</f>
        <v>995180</v>
      </c>
    </row>
    <row r="159" spans="3:12" ht="16">
      <c r="C159" s="239">
        <v>55</v>
      </c>
      <c r="D159" s="448">
        <f>'Aktuelle data'!P34</f>
        <v>1116367</v>
      </c>
      <c r="E159" s="448"/>
      <c r="F159" s="448">
        <f>'Aktuelle data'!Q34</f>
        <v>1116367</v>
      </c>
      <c r="G159" s="448"/>
      <c r="H159" s="448">
        <f>'Aktuelle data'!R34</f>
        <v>1116367</v>
      </c>
      <c r="I159" s="448"/>
      <c r="J159" s="448">
        <f>'Aktuelle data'!S34</f>
        <v>1116367</v>
      </c>
      <c r="K159" s="448"/>
      <c r="L159" s="199">
        <f>'Aktuelle data'!T34</f>
        <v>1116367</v>
      </c>
    </row>
    <row r="160" spans="3:12" ht="17" thickBot="1">
      <c r="C160" s="240" t="s">
        <v>13</v>
      </c>
      <c r="D160" s="445">
        <f>'Aktuelle data'!P35</f>
        <v>1252263</v>
      </c>
      <c r="E160" s="445"/>
      <c r="F160" s="445">
        <f>'Aktuelle data'!Q35</f>
        <v>1252263</v>
      </c>
      <c r="G160" s="445"/>
      <c r="H160" s="445">
        <f>'Aktuelle data'!R35</f>
        <v>1252263</v>
      </c>
      <c r="I160" s="445"/>
      <c r="J160" s="445">
        <f>'Aktuelle data'!S35</f>
        <v>1252263</v>
      </c>
      <c r="K160" s="445"/>
      <c r="L160" s="200">
        <f>'Aktuelle data'!T35</f>
        <v>1252263</v>
      </c>
    </row>
    <row r="163" spans="2:12">
      <c r="B163" s="457" t="s">
        <v>198</v>
      </c>
      <c r="C163" s="457"/>
      <c r="D163" s="457"/>
      <c r="E163" s="457"/>
      <c r="F163" s="457"/>
      <c r="G163" s="457"/>
      <c r="H163" s="457"/>
      <c r="I163" s="457"/>
      <c r="J163" s="457"/>
      <c r="K163" s="33"/>
      <c r="L163" s="11">
        <f>'Aktuelle data'!B44*'Aktuelle data'!C37</f>
        <v>2397.2385000000004</v>
      </c>
    </row>
    <row r="164" spans="2:12">
      <c r="B164" s="457" t="s">
        <v>199</v>
      </c>
      <c r="C164" s="457"/>
      <c r="D164" s="457"/>
      <c r="E164" s="457"/>
      <c r="F164" s="457"/>
      <c r="G164" s="457"/>
      <c r="H164" s="457"/>
      <c r="I164" s="457"/>
      <c r="J164" s="457"/>
      <c r="K164" s="33"/>
      <c r="L164" s="11">
        <f>L163/12</f>
        <v>199.76987500000004</v>
      </c>
    </row>
    <row r="165" spans="2:12">
      <c r="B165" s="541" t="s">
        <v>200</v>
      </c>
      <c r="C165" s="541"/>
      <c r="D165" s="541"/>
      <c r="E165" s="541"/>
      <c r="F165" s="541"/>
      <c r="G165" s="541"/>
      <c r="H165" s="541"/>
      <c r="I165" s="541"/>
      <c r="J165" s="541"/>
    </row>
    <row r="191" spans="2:12" ht="34">
      <c r="B191" s="542" t="s">
        <v>205</v>
      </c>
      <c r="C191" s="542"/>
      <c r="D191" s="542"/>
      <c r="E191" s="542"/>
      <c r="F191" s="542"/>
      <c r="G191" s="542"/>
      <c r="H191" s="542"/>
      <c r="I191" s="542"/>
      <c r="J191" s="542"/>
      <c r="K191" s="542"/>
      <c r="L191" s="542"/>
    </row>
    <row r="192" spans="2:12" ht="15.5" customHeight="1" thickBot="1">
      <c r="B192" s="31"/>
      <c r="C192" s="31"/>
      <c r="D192" s="31"/>
      <c r="E192" s="31"/>
      <c r="F192" s="31"/>
      <c r="G192" s="31"/>
      <c r="H192" s="31"/>
      <c r="I192" s="31"/>
      <c r="J192" s="31"/>
      <c r="K192" s="31"/>
      <c r="L192" s="31"/>
    </row>
    <row r="193" spans="2:13" ht="22.75" customHeight="1">
      <c r="B193" s="543" t="s">
        <v>206</v>
      </c>
      <c r="C193" s="544"/>
      <c r="E193" s="557" t="s">
        <v>209</v>
      </c>
      <c r="F193" s="558"/>
      <c r="G193" s="558"/>
      <c r="H193" s="559"/>
      <c r="K193" s="576" t="s">
        <v>208</v>
      </c>
      <c r="L193" s="577"/>
      <c r="M193" s="244"/>
    </row>
    <row r="194" spans="2:13">
      <c r="B194" s="37" t="s">
        <v>35</v>
      </c>
      <c r="C194" s="38">
        <v>4</v>
      </c>
      <c r="E194" s="518" t="s">
        <v>114</v>
      </c>
      <c r="F194" s="519"/>
      <c r="G194" s="520"/>
      <c r="H194" s="38">
        <v>0</v>
      </c>
      <c r="K194" s="488" t="s">
        <v>92</v>
      </c>
      <c r="L194" s="490"/>
      <c r="M194" s="39">
        <v>0</v>
      </c>
    </row>
    <row r="195" spans="2:13">
      <c r="B195" s="37" t="s">
        <v>36</v>
      </c>
      <c r="C195" s="38">
        <v>3</v>
      </c>
      <c r="E195" s="488" t="s">
        <v>115</v>
      </c>
      <c r="F195" s="489"/>
      <c r="G195" s="490"/>
      <c r="H195" s="38">
        <v>0</v>
      </c>
      <c r="K195" s="488" t="s">
        <v>93</v>
      </c>
      <c r="L195" s="490"/>
      <c r="M195" s="39">
        <v>0</v>
      </c>
    </row>
    <row r="196" spans="2:13">
      <c r="B196" s="37" t="s">
        <v>37</v>
      </c>
      <c r="C196" s="38">
        <v>4</v>
      </c>
      <c r="E196" s="488" t="s">
        <v>116</v>
      </c>
      <c r="F196" s="489"/>
      <c r="G196" s="490"/>
      <c r="H196" s="38">
        <v>0</v>
      </c>
      <c r="K196" s="488" t="s">
        <v>94</v>
      </c>
      <c r="L196" s="490"/>
      <c r="M196" s="39">
        <v>0</v>
      </c>
    </row>
    <row r="197" spans="2:13">
      <c r="B197" s="37" t="s">
        <v>38</v>
      </c>
      <c r="C197" s="38">
        <v>0</v>
      </c>
      <c r="E197" s="488" t="s">
        <v>117</v>
      </c>
      <c r="F197" s="489"/>
      <c r="G197" s="490"/>
      <c r="H197" s="98">
        <v>0</v>
      </c>
      <c r="K197" s="488" t="s">
        <v>95</v>
      </c>
      <c r="L197" s="490"/>
      <c r="M197" s="39">
        <v>1</v>
      </c>
    </row>
    <row r="198" spans="2:13">
      <c r="B198" s="37" t="s">
        <v>39</v>
      </c>
      <c r="C198" s="38">
        <v>4</v>
      </c>
      <c r="E198" s="488" t="s">
        <v>118</v>
      </c>
      <c r="F198" s="489"/>
      <c r="G198" s="490"/>
      <c r="H198" s="38">
        <v>0</v>
      </c>
      <c r="K198" s="488" t="s">
        <v>96</v>
      </c>
      <c r="L198" s="490"/>
      <c r="M198" s="39">
        <v>0</v>
      </c>
    </row>
    <row r="199" spans="2:13">
      <c r="B199" s="37" t="s">
        <v>40</v>
      </c>
      <c r="C199" s="38">
        <v>4</v>
      </c>
      <c r="E199" s="488" t="s">
        <v>119</v>
      </c>
      <c r="F199" s="489"/>
      <c r="G199" s="490"/>
      <c r="H199" s="38">
        <v>0</v>
      </c>
      <c r="K199" s="488" t="s">
        <v>97</v>
      </c>
      <c r="L199" s="490"/>
      <c r="M199" s="39">
        <v>0</v>
      </c>
    </row>
    <row r="200" spans="2:13">
      <c r="B200" s="37" t="s">
        <v>41</v>
      </c>
      <c r="C200" s="38">
        <v>4</v>
      </c>
      <c r="E200" s="488" t="s">
        <v>120</v>
      </c>
      <c r="F200" s="489"/>
      <c r="G200" s="490"/>
      <c r="H200" s="38">
        <v>0</v>
      </c>
      <c r="K200" s="488" t="s">
        <v>98</v>
      </c>
      <c r="L200" s="490"/>
      <c r="M200" s="39">
        <v>1</v>
      </c>
    </row>
    <row r="201" spans="2:13">
      <c r="B201" s="37" t="s">
        <v>42</v>
      </c>
      <c r="C201" s="38">
        <v>3</v>
      </c>
      <c r="E201" s="488" t="s">
        <v>121</v>
      </c>
      <c r="F201" s="489"/>
      <c r="G201" s="490"/>
      <c r="H201" s="38">
        <v>0</v>
      </c>
      <c r="K201" s="488" t="s">
        <v>99</v>
      </c>
      <c r="L201" s="490"/>
      <c r="M201" s="39">
        <v>0</v>
      </c>
    </row>
    <row r="202" spans="2:13">
      <c r="B202" s="37" t="s">
        <v>43</v>
      </c>
      <c r="C202" s="38">
        <v>4</v>
      </c>
      <c r="E202" s="488" t="s">
        <v>122</v>
      </c>
      <c r="F202" s="489"/>
      <c r="G202" s="490"/>
      <c r="H202" s="38">
        <v>0</v>
      </c>
      <c r="K202" s="488" t="s">
        <v>100</v>
      </c>
      <c r="L202" s="490"/>
      <c r="M202" s="39">
        <v>1</v>
      </c>
    </row>
    <row r="203" spans="2:13">
      <c r="B203" s="37" t="s">
        <v>44</v>
      </c>
      <c r="C203" s="38">
        <v>3</v>
      </c>
      <c r="E203" s="488" t="s">
        <v>123</v>
      </c>
      <c r="F203" s="489"/>
      <c r="G203" s="490"/>
      <c r="H203" s="38">
        <v>0</v>
      </c>
      <c r="K203" s="488" t="s">
        <v>101</v>
      </c>
      <c r="L203" s="490"/>
      <c r="M203" s="39">
        <v>0</v>
      </c>
    </row>
    <row r="204" spans="2:13">
      <c r="B204" s="37" t="s">
        <v>45</v>
      </c>
      <c r="C204" s="38">
        <v>3</v>
      </c>
      <c r="E204" s="488" t="s">
        <v>124</v>
      </c>
      <c r="F204" s="489"/>
      <c r="G204" s="490"/>
      <c r="H204" s="38">
        <v>0</v>
      </c>
      <c r="K204" s="488" t="s">
        <v>102</v>
      </c>
      <c r="L204" s="490"/>
      <c r="M204" s="39">
        <v>0</v>
      </c>
    </row>
    <row r="205" spans="2:13">
      <c r="B205" s="37" t="s">
        <v>46</v>
      </c>
      <c r="C205" s="38">
        <v>4</v>
      </c>
      <c r="E205" s="488" t="s">
        <v>125</v>
      </c>
      <c r="F205" s="489"/>
      <c r="G205" s="490"/>
      <c r="H205" s="38">
        <v>0</v>
      </c>
      <c r="K205" s="560" t="s">
        <v>103</v>
      </c>
      <c r="L205" s="521"/>
      <c r="M205" s="39">
        <v>0</v>
      </c>
    </row>
    <row r="206" spans="2:13" ht="14.5" customHeight="1">
      <c r="B206" s="37" t="s">
        <v>47</v>
      </c>
      <c r="C206" s="38">
        <v>4</v>
      </c>
      <c r="E206" s="488" t="s">
        <v>126</v>
      </c>
      <c r="F206" s="489"/>
      <c r="G206" s="490"/>
      <c r="H206" s="38">
        <v>0</v>
      </c>
      <c r="K206" s="581" t="s">
        <v>305</v>
      </c>
      <c r="L206" s="582"/>
      <c r="M206" s="39">
        <v>0</v>
      </c>
    </row>
    <row r="207" spans="2:13" ht="14.5" customHeight="1">
      <c r="B207" s="37" t="s">
        <v>48</v>
      </c>
      <c r="C207" s="38">
        <v>4</v>
      </c>
      <c r="E207" s="488" t="s">
        <v>127</v>
      </c>
      <c r="F207" s="489"/>
      <c r="G207" s="490"/>
      <c r="H207" s="38">
        <v>1</v>
      </c>
      <c r="K207" s="560" t="s">
        <v>104</v>
      </c>
      <c r="L207" s="521"/>
      <c r="M207" s="39">
        <v>1</v>
      </c>
    </row>
    <row r="208" spans="2:13" ht="14.5" customHeight="1">
      <c r="B208" s="37" t="s">
        <v>49</v>
      </c>
      <c r="C208" s="38">
        <v>4</v>
      </c>
      <c r="E208" s="488" t="s">
        <v>128</v>
      </c>
      <c r="F208" s="489"/>
      <c r="G208" s="490"/>
      <c r="H208" s="38">
        <v>0</v>
      </c>
      <c r="K208" s="488" t="s">
        <v>105</v>
      </c>
      <c r="L208" s="490"/>
      <c r="M208" s="39">
        <v>1</v>
      </c>
    </row>
    <row r="209" spans="2:14" ht="14.5" customHeight="1">
      <c r="B209" s="37" t="s">
        <v>50</v>
      </c>
      <c r="C209" s="38">
        <v>4</v>
      </c>
      <c r="E209" s="488" t="s">
        <v>129</v>
      </c>
      <c r="F209" s="489"/>
      <c r="G209" s="490"/>
      <c r="H209" s="38">
        <v>0</v>
      </c>
      <c r="K209" s="488" t="s">
        <v>106</v>
      </c>
      <c r="L209" s="490"/>
      <c r="M209" s="39">
        <v>0</v>
      </c>
    </row>
    <row r="210" spans="2:14" ht="14.5" customHeight="1">
      <c r="B210" s="37" t="s">
        <v>51</v>
      </c>
      <c r="C210" s="38">
        <v>3</v>
      </c>
      <c r="D210" s="41"/>
      <c r="E210" s="488" t="s">
        <v>130</v>
      </c>
      <c r="F210" s="489"/>
      <c r="G210" s="490"/>
      <c r="H210" s="38">
        <v>0</v>
      </c>
      <c r="K210" s="488" t="s">
        <v>107</v>
      </c>
      <c r="L210" s="490"/>
      <c r="M210" s="39">
        <v>1</v>
      </c>
    </row>
    <row r="211" spans="2:14" ht="14.5" customHeight="1">
      <c r="B211" s="37" t="s">
        <v>52</v>
      </c>
      <c r="C211" s="38">
        <v>3</v>
      </c>
      <c r="E211" s="488" t="s">
        <v>131</v>
      </c>
      <c r="F211" s="489"/>
      <c r="G211" s="490"/>
      <c r="H211" s="38">
        <v>0</v>
      </c>
      <c r="K211" s="488" t="s">
        <v>108</v>
      </c>
      <c r="L211" s="490"/>
      <c r="M211" s="39">
        <v>0</v>
      </c>
    </row>
    <row r="212" spans="2:14" ht="16" thickBot="1">
      <c r="B212" s="37" t="s">
        <v>53</v>
      </c>
      <c r="C212" s="38">
        <v>4</v>
      </c>
      <c r="E212" s="491" t="s">
        <v>132</v>
      </c>
      <c r="F212" s="492"/>
      <c r="G212" s="493"/>
      <c r="H212" s="40">
        <v>2</v>
      </c>
      <c r="K212" s="488" t="s">
        <v>109</v>
      </c>
      <c r="L212" s="490"/>
      <c r="M212" s="39">
        <v>0</v>
      </c>
    </row>
    <row r="213" spans="2:14" ht="16" thickBot="1">
      <c r="B213" s="37" t="s">
        <v>54</v>
      </c>
      <c r="C213" s="38">
        <v>3</v>
      </c>
      <c r="K213" s="488" t="s">
        <v>110</v>
      </c>
      <c r="L213" s="490"/>
      <c r="M213" s="39">
        <v>0</v>
      </c>
    </row>
    <row r="214" spans="2:14">
      <c r="B214" s="37" t="s">
        <v>55</v>
      </c>
      <c r="C214" s="38">
        <v>4</v>
      </c>
      <c r="E214" s="557" t="s">
        <v>207</v>
      </c>
      <c r="F214" s="558"/>
      <c r="G214" s="558"/>
      <c r="H214" s="559"/>
      <c r="K214" s="488" t="s">
        <v>111</v>
      </c>
      <c r="L214" s="490"/>
      <c r="M214" s="39">
        <v>0</v>
      </c>
    </row>
    <row r="215" spans="2:14">
      <c r="B215" s="37" t="s">
        <v>56</v>
      </c>
      <c r="C215" s="38">
        <v>4</v>
      </c>
      <c r="E215" s="518" t="s">
        <v>65</v>
      </c>
      <c r="F215" s="519"/>
      <c r="G215" s="520"/>
      <c r="H215" s="38">
        <v>0</v>
      </c>
      <c r="K215" s="488" t="s">
        <v>112</v>
      </c>
      <c r="L215" s="490"/>
      <c r="M215" s="39">
        <v>0</v>
      </c>
    </row>
    <row r="216" spans="2:14" ht="16" thickBot="1">
      <c r="B216" s="37" t="s">
        <v>57</v>
      </c>
      <c r="C216" s="38">
        <v>3</v>
      </c>
      <c r="E216" s="488" t="s">
        <v>66</v>
      </c>
      <c r="F216" s="489"/>
      <c r="G216" s="490"/>
      <c r="H216" s="38">
        <v>0</v>
      </c>
      <c r="I216" s="46"/>
      <c r="K216" s="578" t="s">
        <v>113</v>
      </c>
      <c r="L216" s="579"/>
      <c r="M216" s="42">
        <v>0</v>
      </c>
    </row>
    <row r="217" spans="2:14" ht="14.5" customHeight="1">
      <c r="B217" s="37" t="s">
        <v>58</v>
      </c>
      <c r="C217" s="38">
        <v>4</v>
      </c>
      <c r="E217" s="488" t="s">
        <v>67</v>
      </c>
      <c r="F217" s="489"/>
      <c r="G217" s="490"/>
      <c r="H217" s="38">
        <v>0</v>
      </c>
      <c r="I217" s="46"/>
      <c r="N217" s="161"/>
    </row>
    <row r="218" spans="2:14" ht="14.5" customHeight="1">
      <c r="B218" s="37" t="s">
        <v>59</v>
      </c>
      <c r="C218" s="38">
        <v>4</v>
      </c>
      <c r="E218" s="488" t="s">
        <v>68</v>
      </c>
      <c r="F218" s="489"/>
      <c r="G218" s="490"/>
      <c r="H218" s="38">
        <v>1</v>
      </c>
      <c r="I218" s="46"/>
      <c r="K218" s="580" t="s">
        <v>210</v>
      </c>
      <c r="L218" s="580"/>
      <c r="M218" s="580"/>
    </row>
    <row r="219" spans="2:14" ht="24" customHeight="1">
      <c r="B219" s="37" t="s">
        <v>60</v>
      </c>
      <c r="C219" s="38">
        <v>4</v>
      </c>
      <c r="E219" s="488" t="s">
        <v>69</v>
      </c>
      <c r="F219" s="489"/>
      <c r="G219" s="490"/>
      <c r="H219" s="38">
        <v>2</v>
      </c>
      <c r="I219" s="46"/>
      <c r="K219" s="521" t="s">
        <v>81</v>
      </c>
      <c r="L219" s="521"/>
      <c r="M219" s="305">
        <v>0</v>
      </c>
    </row>
    <row r="220" spans="2:14" ht="14.5" customHeight="1">
      <c r="B220" s="37" t="s">
        <v>61</v>
      </c>
      <c r="C220" s="38">
        <v>4</v>
      </c>
      <c r="E220" s="488" t="s">
        <v>70</v>
      </c>
      <c r="F220" s="489"/>
      <c r="G220" s="490"/>
      <c r="H220" s="38">
        <v>2</v>
      </c>
      <c r="I220" s="46"/>
      <c r="K220" s="521" t="s">
        <v>82</v>
      </c>
      <c r="L220" s="521"/>
      <c r="M220" s="305">
        <v>1</v>
      </c>
    </row>
    <row r="221" spans="2:14" ht="14.5" customHeight="1">
      <c r="B221" s="37" t="s">
        <v>62</v>
      </c>
      <c r="C221" s="38">
        <v>4</v>
      </c>
      <c r="E221" s="488" t="s">
        <v>71</v>
      </c>
      <c r="F221" s="489"/>
      <c r="G221" s="490"/>
      <c r="H221" s="38">
        <v>0</v>
      </c>
      <c r="I221" s="46"/>
      <c r="K221" s="521" t="s">
        <v>83</v>
      </c>
      <c r="L221" s="521"/>
      <c r="M221" s="305">
        <v>0</v>
      </c>
    </row>
    <row r="222" spans="2:14" ht="14.5" customHeight="1">
      <c r="B222" s="37" t="s">
        <v>63</v>
      </c>
      <c r="C222" s="38">
        <v>4</v>
      </c>
      <c r="E222" s="488" t="s">
        <v>72</v>
      </c>
      <c r="F222" s="489"/>
      <c r="G222" s="490"/>
      <c r="H222" s="38">
        <v>1</v>
      </c>
      <c r="I222" s="46"/>
      <c r="J222" s="43"/>
      <c r="K222" s="521" t="s">
        <v>84</v>
      </c>
      <c r="L222" s="521"/>
      <c r="M222" s="305">
        <v>0</v>
      </c>
    </row>
    <row r="223" spans="2:14" ht="15" customHeight="1" thickBot="1">
      <c r="B223" s="44" t="s">
        <v>64</v>
      </c>
      <c r="C223" s="40">
        <v>4</v>
      </c>
      <c r="E223" s="488" t="s">
        <v>73</v>
      </c>
      <c r="F223" s="489"/>
      <c r="G223" s="490"/>
      <c r="H223" s="38">
        <v>0</v>
      </c>
      <c r="I223" s="46"/>
      <c r="K223" s="521" t="s">
        <v>85</v>
      </c>
      <c r="L223" s="521"/>
      <c r="M223" s="305">
        <v>0</v>
      </c>
    </row>
    <row r="224" spans="2:14" ht="14.5" customHeight="1">
      <c r="B224" s="45"/>
      <c r="C224" s="46"/>
      <c r="E224" s="488" t="s">
        <v>74</v>
      </c>
      <c r="F224" s="489"/>
      <c r="G224" s="490"/>
      <c r="H224" s="38">
        <v>0</v>
      </c>
      <c r="I224" s="46"/>
      <c r="K224" s="521" t="s">
        <v>86</v>
      </c>
      <c r="L224" s="521"/>
      <c r="M224" s="305">
        <v>0</v>
      </c>
    </row>
    <row r="225" spans="5:13" ht="14.5" customHeight="1">
      <c r="E225" s="488" t="s">
        <v>75</v>
      </c>
      <c r="F225" s="489"/>
      <c r="G225" s="490"/>
      <c r="H225" s="38">
        <v>2</v>
      </c>
      <c r="I225" s="46"/>
      <c r="K225" s="521" t="s">
        <v>87</v>
      </c>
      <c r="L225" s="521"/>
      <c r="M225" s="305">
        <v>0</v>
      </c>
    </row>
    <row r="226" spans="5:13" ht="14.5" customHeight="1">
      <c r="E226" s="488" t="s">
        <v>76</v>
      </c>
      <c r="F226" s="489"/>
      <c r="G226" s="490"/>
      <c r="H226" s="38">
        <v>1</v>
      </c>
      <c r="I226" s="46"/>
      <c r="K226" s="521" t="s">
        <v>88</v>
      </c>
      <c r="L226" s="521"/>
      <c r="M226" s="305">
        <v>0</v>
      </c>
    </row>
    <row r="227" spans="5:13" ht="14.5" customHeight="1">
      <c r="E227" s="518" t="s">
        <v>77</v>
      </c>
      <c r="F227" s="519"/>
      <c r="G227" s="520"/>
      <c r="H227" s="38">
        <v>2</v>
      </c>
      <c r="I227" s="46"/>
      <c r="K227" s="521" t="s">
        <v>89</v>
      </c>
      <c r="L227" s="521"/>
      <c r="M227" s="305">
        <v>0</v>
      </c>
    </row>
    <row r="228" spans="5:13" ht="15" customHeight="1">
      <c r="E228" s="488" t="s">
        <v>78</v>
      </c>
      <c r="F228" s="489"/>
      <c r="G228" s="490"/>
      <c r="H228" s="38">
        <v>0</v>
      </c>
      <c r="I228" s="46"/>
      <c r="K228" s="521" t="s">
        <v>90</v>
      </c>
      <c r="L228" s="521"/>
      <c r="M228" s="305">
        <v>0</v>
      </c>
    </row>
    <row r="229" spans="5:13">
      <c r="E229" s="488" t="s">
        <v>79</v>
      </c>
      <c r="F229" s="489"/>
      <c r="G229" s="490"/>
      <c r="H229" s="38">
        <v>0</v>
      </c>
      <c r="I229" s="46"/>
      <c r="K229" s="521" t="s">
        <v>91</v>
      </c>
      <c r="L229" s="521"/>
      <c r="M229" s="305">
        <v>1</v>
      </c>
    </row>
    <row r="230" spans="5:13" ht="16" thickBot="1">
      <c r="E230" s="491" t="s">
        <v>80</v>
      </c>
      <c r="F230" s="492"/>
      <c r="G230" s="493"/>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ht="34.25" customHeight="1">
      <c r="B256" s="495" t="s">
        <v>286</v>
      </c>
      <c r="C256" s="495"/>
      <c r="D256" s="495"/>
      <c r="E256" s="495"/>
      <c r="F256" s="495"/>
      <c r="G256" s="495"/>
      <c r="H256" s="495"/>
      <c r="I256" s="495"/>
      <c r="J256" s="495"/>
      <c r="K256" s="495"/>
    </row>
    <row r="257" spans="2:13" ht="34.25" customHeight="1">
      <c r="B257" s="515" t="s">
        <v>233</v>
      </c>
      <c r="C257" s="515"/>
      <c r="D257" s="515"/>
      <c r="E257" s="515"/>
      <c r="F257" s="515"/>
      <c r="G257" s="515"/>
      <c r="H257" s="515"/>
      <c r="I257" s="515"/>
      <c r="J257" s="515"/>
      <c r="K257" s="515"/>
      <c r="L257" s="28">
        <f>'Aktuelle data'!C37</f>
        <v>1.5981590000000001</v>
      </c>
    </row>
    <row r="258" spans="2:13">
      <c r="B258" s="48"/>
    </row>
    <row r="259" spans="2:13" ht="21">
      <c r="B259" s="505" t="s">
        <v>287</v>
      </c>
      <c r="C259" s="505"/>
      <c r="D259" s="505"/>
      <c r="E259" s="505"/>
      <c r="F259" s="505"/>
      <c r="G259" s="505"/>
      <c r="H259" s="505"/>
      <c r="I259" s="505"/>
      <c r="J259" s="505"/>
      <c r="K259" s="505"/>
      <c r="L259" s="505"/>
      <c r="M259" s="505"/>
    </row>
    <row r="260" spans="2:13" ht="16" thickBot="1"/>
    <row r="261" spans="2:13">
      <c r="C261" s="486" t="s">
        <v>218</v>
      </c>
      <c r="D261" s="487"/>
      <c r="E261" s="487"/>
      <c r="F261" s="487"/>
      <c r="G261" s="487"/>
      <c r="H261" s="487"/>
      <c r="I261" s="245"/>
      <c r="J261" s="246">
        <f>'Aktuelle data'!C37</f>
        <v>1.5981590000000001</v>
      </c>
    </row>
    <row r="262" spans="2:13" ht="58.25" customHeight="1">
      <c r="C262" s="247" t="s">
        <v>215</v>
      </c>
      <c r="D262" s="248" t="s">
        <v>211</v>
      </c>
      <c r="E262" s="249"/>
      <c r="F262" s="250" t="s">
        <v>212</v>
      </c>
      <c r="G262" s="539" t="s">
        <v>213</v>
      </c>
      <c r="H262" s="540"/>
      <c r="I262" s="512" t="s">
        <v>214</v>
      </c>
      <c r="J262" s="513"/>
    </row>
    <row r="263" spans="2:13">
      <c r="C263" s="136">
        <v>1000</v>
      </c>
      <c r="D263" s="137">
        <f>'Aktuelle data'!W7</f>
        <v>1598.1590000000001</v>
      </c>
      <c r="E263" s="138"/>
      <c r="F263" s="139">
        <f>'Aktuelle data'!X7</f>
        <v>133.17991666666668</v>
      </c>
      <c r="G263" s="140"/>
      <c r="H263" s="139">
        <f>'Aktuelle data'!Y7</f>
        <v>267.69163250000003</v>
      </c>
      <c r="I263" s="75"/>
      <c r="J263" s="141">
        <f>'Aktuelle data'!Z7</f>
        <v>1865.8506325000001</v>
      </c>
    </row>
    <row r="264" spans="2:13">
      <c r="B264" s="30" t="s">
        <v>217</v>
      </c>
      <c r="C264" s="142">
        <v>1500</v>
      </c>
      <c r="D264" s="137">
        <f>'Aktuelle data'!W8</f>
        <v>2397.2385000000004</v>
      </c>
      <c r="E264" s="143"/>
      <c r="F264" s="144">
        <f>'Aktuelle data'!X8</f>
        <v>199.76987500000004</v>
      </c>
      <c r="G264" s="145"/>
      <c r="H264" s="144">
        <f>'Aktuelle data'!Y8</f>
        <v>401.53744875000007</v>
      </c>
      <c r="I264" s="59"/>
      <c r="J264" s="146">
        <f>'Aktuelle data'!Z8</f>
        <v>2798.7759487500007</v>
      </c>
    </row>
    <row r="265" spans="2:13">
      <c r="C265" s="147">
        <v>2500</v>
      </c>
      <c r="D265" s="137">
        <f>'Aktuelle data'!W9</f>
        <v>3995.3975000000005</v>
      </c>
      <c r="E265" s="145"/>
      <c r="F265" s="144">
        <f>'Aktuelle data'!X9</f>
        <v>332.94979166666673</v>
      </c>
      <c r="G265" s="145"/>
      <c r="H265" s="144">
        <f>'Aktuelle data'!Y9</f>
        <v>669.22908125000004</v>
      </c>
      <c r="I265" s="59"/>
      <c r="J265" s="146">
        <f>'Aktuelle data'!Z9</f>
        <v>4664.6265812500005</v>
      </c>
    </row>
    <row r="266" spans="2:13">
      <c r="C266" s="148">
        <v>2800</v>
      </c>
      <c r="D266" s="137">
        <f>'Aktuelle data'!W10</f>
        <v>4474.8452000000007</v>
      </c>
      <c r="E266" s="143"/>
      <c r="F266" s="144">
        <f>'Aktuelle data'!X10</f>
        <v>372.90376666666674</v>
      </c>
      <c r="G266" s="145"/>
      <c r="H266" s="144">
        <f>'Aktuelle data'!Y10</f>
        <v>749.53657100000009</v>
      </c>
      <c r="I266" s="59"/>
      <c r="J266" s="146">
        <f>'Aktuelle data'!Z10</f>
        <v>5224.3817710000003</v>
      </c>
    </row>
    <row r="267" spans="2:13">
      <c r="C267" s="148">
        <v>3100</v>
      </c>
      <c r="D267" s="137">
        <f>'Aktuelle data'!W11</f>
        <v>4954.2929000000004</v>
      </c>
      <c r="E267" s="143"/>
      <c r="F267" s="144">
        <f>'Aktuelle data'!X11</f>
        <v>412.8577416666667</v>
      </c>
      <c r="G267" s="145"/>
      <c r="H267" s="144">
        <f>'Aktuelle data'!Y11</f>
        <v>829.84406075000004</v>
      </c>
      <c r="I267" s="59"/>
      <c r="J267" s="146">
        <f>'Aktuelle data'!Z11</f>
        <v>5784.1369607500001</v>
      </c>
    </row>
    <row r="268" spans="2:13">
      <c r="C268" s="148">
        <v>3400</v>
      </c>
      <c r="D268" s="137">
        <f>'Aktuelle data'!W12</f>
        <v>5433.7406000000001</v>
      </c>
      <c r="E268" s="143"/>
      <c r="F268" s="144">
        <f>'Aktuelle data'!X12</f>
        <v>452.81171666666665</v>
      </c>
      <c r="G268" s="145"/>
      <c r="H268" s="144">
        <f>'Aktuelle data'!Y12</f>
        <v>910.15155049999998</v>
      </c>
      <c r="I268" s="59"/>
      <c r="J268" s="146">
        <f>'Aktuelle data'!Z12</f>
        <v>6343.8921504999998</v>
      </c>
    </row>
    <row r="269" spans="2:13">
      <c r="C269" s="148">
        <v>3600</v>
      </c>
      <c r="D269" s="137">
        <f>'Aktuelle data'!W13</f>
        <v>5753.3724000000002</v>
      </c>
      <c r="E269" s="143"/>
      <c r="F269" s="144">
        <f>'Aktuelle data'!X13</f>
        <v>479.4477</v>
      </c>
      <c r="G269" s="145"/>
      <c r="H269" s="144">
        <f>'Aktuelle data'!Y13</f>
        <v>963.68987700000002</v>
      </c>
      <c r="I269" s="59"/>
      <c r="J269" s="146">
        <f>'Aktuelle data'!Z13</f>
        <v>6717.062277</v>
      </c>
    </row>
    <row r="270" spans="2:13">
      <c r="C270" s="148">
        <v>3800</v>
      </c>
      <c r="D270" s="137">
        <f>'Aktuelle data'!W14</f>
        <v>6073.0042000000003</v>
      </c>
      <c r="E270" s="143"/>
      <c r="F270" s="144">
        <f>'Aktuelle data'!X14</f>
        <v>506.08368333333334</v>
      </c>
      <c r="G270" s="145"/>
      <c r="H270" s="144">
        <f>'Aktuelle data'!Y14</f>
        <v>1017.2282035000001</v>
      </c>
      <c r="I270" s="59"/>
      <c r="J270" s="146">
        <f>'Aktuelle data'!Z14</f>
        <v>7090.2324035000001</v>
      </c>
    </row>
    <row r="271" spans="2:13">
      <c r="C271" s="148">
        <v>4100</v>
      </c>
      <c r="D271" s="137">
        <f>'Aktuelle data'!W15</f>
        <v>6552.4519</v>
      </c>
      <c r="E271" s="143"/>
      <c r="F271" s="144">
        <f>'Aktuelle data'!X15</f>
        <v>546.0376583333333</v>
      </c>
      <c r="G271" s="145"/>
      <c r="H271" s="144">
        <f>'Aktuelle data'!Y15</f>
        <v>1097.5356932500001</v>
      </c>
      <c r="I271" s="59"/>
      <c r="J271" s="146">
        <f>'Aktuelle data'!Z15</f>
        <v>7649.9875932499999</v>
      </c>
    </row>
    <row r="272" spans="2:13">
      <c r="C272" s="148">
        <v>4300</v>
      </c>
      <c r="D272" s="137">
        <f>'Aktuelle data'!W16</f>
        <v>6872.0837000000001</v>
      </c>
      <c r="E272" s="143"/>
      <c r="F272" s="144">
        <f>'Aktuelle data'!X16</f>
        <v>572.67364166666664</v>
      </c>
      <c r="G272" s="145"/>
      <c r="H272" s="144">
        <f>'Aktuelle data'!Y16</f>
        <v>1151.0740197499999</v>
      </c>
      <c r="I272" s="59"/>
      <c r="J272" s="146">
        <f>'Aktuelle data'!Z16</f>
        <v>8023.1577197500001</v>
      </c>
    </row>
    <row r="273" spans="3:10">
      <c r="C273" s="148">
        <v>4800</v>
      </c>
      <c r="D273" s="137">
        <f>'Aktuelle data'!W17</f>
        <v>7671.1632000000009</v>
      </c>
      <c r="E273" s="143"/>
      <c r="F273" s="144">
        <f>'Aktuelle data'!X17</f>
        <v>639.26360000000011</v>
      </c>
      <c r="G273" s="145"/>
      <c r="H273" s="144">
        <f>'Aktuelle data'!Y17</f>
        <v>1284.9198360000003</v>
      </c>
      <c r="I273" s="59"/>
      <c r="J273" s="146">
        <f>'Aktuelle data'!Z17</f>
        <v>8956.0830360000018</v>
      </c>
    </row>
    <row r="274" spans="3:10">
      <c r="C274" s="148">
        <v>4900</v>
      </c>
      <c r="D274" s="137">
        <f>'Aktuelle data'!W18</f>
        <v>7830.9791000000005</v>
      </c>
      <c r="E274" s="143"/>
      <c r="F274" s="144">
        <f>'Aktuelle data'!X18</f>
        <v>652.58159166666667</v>
      </c>
      <c r="G274" s="145"/>
      <c r="H274" s="144">
        <f>'Aktuelle data'!Y18</f>
        <v>1311.6889992500001</v>
      </c>
      <c r="I274" s="59"/>
      <c r="J274" s="146">
        <f>'Aktuelle data'!Z18</f>
        <v>9142.6680992500005</v>
      </c>
    </row>
    <row r="275" spans="3:10">
      <c r="C275" s="148">
        <v>5200</v>
      </c>
      <c r="D275" s="137">
        <f>'Aktuelle data'!W19</f>
        <v>8310.4268000000011</v>
      </c>
      <c r="E275" s="143"/>
      <c r="F275" s="144">
        <f>'Aktuelle data'!X19</f>
        <v>692.5355666666668</v>
      </c>
      <c r="G275" s="145"/>
      <c r="H275" s="144">
        <f>'Aktuelle data'!Y19</f>
        <v>1391.9964890000003</v>
      </c>
      <c r="I275" s="59"/>
      <c r="J275" s="146">
        <f>'Aktuelle data'!Z19</f>
        <v>9702.4232890000021</v>
      </c>
    </row>
    <row r="276" spans="3:10">
      <c r="C276" s="148">
        <v>6000</v>
      </c>
      <c r="D276" s="137">
        <f>'Aktuelle data'!W20</f>
        <v>9588.9540000000015</v>
      </c>
      <c r="E276" s="143"/>
      <c r="F276" s="144">
        <f>'Aktuelle data'!X20</f>
        <v>799.07950000000017</v>
      </c>
      <c r="G276" s="145"/>
      <c r="H276" s="144">
        <f>'Aktuelle data'!Y20</f>
        <v>1606.1497950000003</v>
      </c>
      <c r="I276" s="59"/>
      <c r="J276" s="146">
        <f>'Aktuelle data'!Z20</f>
        <v>11195.103795000003</v>
      </c>
    </row>
    <row r="277" spans="3:10">
      <c r="C277" s="148">
        <v>7000</v>
      </c>
      <c r="D277" s="137">
        <f>'Aktuelle data'!W21</f>
        <v>11187.113000000001</v>
      </c>
      <c r="E277" s="143"/>
      <c r="F277" s="144">
        <f>'Aktuelle data'!X21</f>
        <v>932.25941666666677</v>
      </c>
      <c r="G277" s="145"/>
      <c r="H277" s="144">
        <f>'Aktuelle data'!Y21</f>
        <v>1873.8414275000002</v>
      </c>
      <c r="I277" s="59"/>
      <c r="J277" s="146">
        <f>'Aktuelle data'!Z21</f>
        <v>13060.954427500001</v>
      </c>
    </row>
    <row r="278" spans="3:10">
      <c r="C278" s="149">
        <v>8100</v>
      </c>
      <c r="D278" s="137">
        <f>'Aktuelle data'!W22</f>
        <v>12945.0879</v>
      </c>
      <c r="E278" s="143"/>
      <c r="F278" s="144">
        <f>'Aktuelle data'!X22</f>
        <v>1078.757325</v>
      </c>
      <c r="G278" s="145"/>
      <c r="H278" s="144">
        <f>'Aktuelle data'!Y22</f>
        <v>2168.3022232500002</v>
      </c>
      <c r="I278" s="59"/>
      <c r="J278" s="146">
        <f>'Aktuelle data'!Z22</f>
        <v>15113.390123250001</v>
      </c>
    </row>
    <row r="279" spans="3:10">
      <c r="C279" s="149">
        <v>9100</v>
      </c>
      <c r="D279" s="137">
        <f>'Aktuelle data'!W23</f>
        <v>14543.2469</v>
      </c>
      <c r="E279" s="143"/>
      <c r="F279" s="144">
        <f>'Aktuelle data'!X23</f>
        <v>1211.9372416666668</v>
      </c>
      <c r="G279" s="145"/>
      <c r="H279" s="144">
        <f>'Aktuelle data'!Y23</f>
        <v>2435.99385575</v>
      </c>
      <c r="I279" s="59"/>
      <c r="J279" s="146">
        <f>'Aktuelle data'!Z23</f>
        <v>16979.240755750001</v>
      </c>
    </row>
    <row r="280" spans="3:10">
      <c r="C280" s="149">
        <v>12000</v>
      </c>
      <c r="D280" s="137">
        <f>'Aktuelle data'!W24</f>
        <v>19177.908000000003</v>
      </c>
      <c r="E280" s="143"/>
      <c r="F280" s="144">
        <f>'Aktuelle data'!X24</f>
        <v>1598.1590000000003</v>
      </c>
      <c r="G280" s="145"/>
      <c r="H280" s="144">
        <f>'Aktuelle data'!Y24</f>
        <v>3212.2995900000005</v>
      </c>
      <c r="I280" s="59"/>
      <c r="J280" s="146">
        <f>'Aktuelle data'!Z24</f>
        <v>22390.207590000005</v>
      </c>
    </row>
    <row r="281" spans="3:10">
      <c r="C281" s="149">
        <v>20300</v>
      </c>
      <c r="D281" s="137">
        <f>'Aktuelle data'!W25</f>
        <v>32442.627700000001</v>
      </c>
      <c r="E281" s="143"/>
      <c r="F281" s="144">
        <f>'Aktuelle data'!X25</f>
        <v>2703.5523083333333</v>
      </c>
      <c r="G281" s="145"/>
      <c r="H281" s="144">
        <f>'Aktuelle data'!Y25</f>
        <v>5434.1401397500003</v>
      </c>
      <c r="I281" s="59"/>
      <c r="J281" s="146">
        <f>'Aktuelle data'!Z25</f>
        <v>37876.767839749999</v>
      </c>
    </row>
    <row r="282" spans="3:10">
      <c r="C282" s="149">
        <v>30600</v>
      </c>
      <c r="D282" s="137">
        <f>'Aktuelle data'!W26</f>
        <v>48903.665400000005</v>
      </c>
      <c r="E282" s="143"/>
      <c r="F282" s="144">
        <f>'Aktuelle data'!X26</f>
        <v>4075.3054500000003</v>
      </c>
      <c r="G282" s="145"/>
      <c r="H282" s="144">
        <f>'Aktuelle data'!Y26</f>
        <v>8191.3639545000005</v>
      </c>
      <c r="I282" s="59"/>
      <c r="J282" s="146">
        <f>'Aktuelle data'!Z26</f>
        <v>57095.029354500002</v>
      </c>
    </row>
    <row r="283" spans="3:10" ht="16" thickBot="1">
      <c r="C283" s="90">
        <v>41000</v>
      </c>
      <c r="D283" s="137">
        <f>'Aktuelle data'!W27</f>
        <v>65524.519000000008</v>
      </c>
      <c r="E283" s="95"/>
      <c r="F283" s="92">
        <f>'Aktuelle data'!X27</f>
        <v>5460.3765833333337</v>
      </c>
      <c r="G283" s="91"/>
      <c r="H283" s="92">
        <f>'Aktuelle data'!Y27</f>
        <v>10975.356932500001</v>
      </c>
      <c r="I283" s="96"/>
      <c r="J283" s="49">
        <f>'Aktuelle data'!Z27</f>
        <v>76499.875932500014</v>
      </c>
    </row>
    <row r="284" spans="3:10">
      <c r="C284" s="50"/>
    </row>
    <row r="285" spans="3:10">
      <c r="C285" s="20" t="s">
        <v>230</v>
      </c>
    </row>
    <row r="317" spans="2:13" ht="21">
      <c r="B317" s="499" t="s">
        <v>288</v>
      </c>
      <c r="C317" s="500"/>
      <c r="D317" s="500"/>
      <c r="E317" s="500"/>
      <c r="F317" s="500"/>
      <c r="G317" s="500"/>
      <c r="H317" s="500"/>
      <c r="I317" s="500"/>
      <c r="J317" s="500"/>
      <c r="K317" s="500"/>
      <c r="L317" s="500"/>
      <c r="M317" s="500"/>
    </row>
    <row r="318" spans="2:13" ht="16" thickBot="1">
      <c r="B318" s="51"/>
    </row>
    <row r="319" spans="2:13">
      <c r="B319" s="52" t="s">
        <v>219</v>
      </c>
      <c r="C319" s="53"/>
      <c r="D319" s="53"/>
      <c r="E319" s="53"/>
      <c r="F319" s="53"/>
      <c r="G319" s="53"/>
      <c r="H319" s="53"/>
      <c r="I319" s="53"/>
      <c r="J319" s="53"/>
      <c r="K319" s="53"/>
      <c r="L319" s="53"/>
      <c r="M319" s="54"/>
    </row>
    <row r="320" spans="2:13">
      <c r="B320" s="55" t="s">
        <v>220</v>
      </c>
      <c r="M320" s="26"/>
    </row>
    <row r="321" spans="2:13">
      <c r="B321" s="55" t="s">
        <v>221</v>
      </c>
      <c r="M321" s="26"/>
    </row>
    <row r="322" spans="2:13">
      <c r="B322" s="506" t="s">
        <v>274</v>
      </c>
      <c r="C322" s="507"/>
      <c r="D322" s="507"/>
      <c r="E322" s="507"/>
      <c r="F322" s="507"/>
      <c r="G322" s="507"/>
      <c r="H322" s="507"/>
      <c r="I322" s="507"/>
      <c r="J322" s="507"/>
      <c r="K322" s="507"/>
      <c r="L322" s="507"/>
      <c r="M322" s="508"/>
    </row>
    <row r="323" spans="2:13" ht="16" thickBot="1">
      <c r="B323" s="509" t="s">
        <v>222</v>
      </c>
      <c r="C323" s="510"/>
      <c r="D323" s="510"/>
      <c r="E323" s="510"/>
      <c r="F323" s="510"/>
      <c r="G323" s="510"/>
      <c r="H323" s="510"/>
      <c r="I323" s="510"/>
      <c r="J323" s="510"/>
      <c r="K323" s="510"/>
      <c r="L323" s="510"/>
      <c r="M323" s="511"/>
    </row>
    <row r="324" spans="2:13" ht="17" thickBot="1">
      <c r="B324" s="62"/>
    </row>
    <row r="325" spans="2:13" ht="16">
      <c r="B325" s="545" t="s">
        <v>262</v>
      </c>
      <c r="C325" s="546"/>
      <c r="D325" s="546"/>
      <c r="E325" s="546"/>
      <c r="F325" s="546"/>
      <c r="G325" s="546"/>
      <c r="H325" s="546"/>
      <c r="I325" s="546"/>
      <c r="J325" s="546"/>
      <c r="K325" s="546"/>
      <c r="L325" s="546"/>
      <c r="M325" s="547"/>
    </row>
    <row r="326" spans="2:13" ht="16">
      <c r="B326" s="552" t="s">
        <v>223</v>
      </c>
      <c r="C326" s="553"/>
      <c r="D326" s="555">
        <f>'Aktuelle data'!D20</f>
        <v>455091</v>
      </c>
      <c r="E326" s="555"/>
      <c r="F326" s="555"/>
      <c r="G326" s="152" t="s">
        <v>217</v>
      </c>
      <c r="H326" s="501" t="s">
        <v>228</v>
      </c>
      <c r="I326" s="501"/>
      <c r="J326" s="501"/>
      <c r="K326" s="65" t="s">
        <v>225</v>
      </c>
      <c r="L326" s="548">
        <f>'Aktuelle data'!D20*30/37</f>
        <v>368992.70270270272</v>
      </c>
      <c r="M326" s="549"/>
    </row>
    <row r="327" spans="2:13" ht="16">
      <c r="B327" s="554" t="s">
        <v>22</v>
      </c>
      <c r="C327" s="502"/>
      <c r="D327" s="162">
        <f>'Aktuelle data'!B44</f>
        <v>1500</v>
      </c>
      <c r="E327" s="152" t="s">
        <v>217</v>
      </c>
      <c r="F327" s="153">
        <f>'Aktuelle data'!C37</f>
        <v>1.5981590000000001</v>
      </c>
      <c r="G327" s="152" t="s">
        <v>217</v>
      </c>
      <c r="H327" s="502" t="s">
        <v>228</v>
      </c>
      <c r="I327" s="502"/>
      <c r="J327" s="502"/>
      <c r="K327" s="150" t="s">
        <v>225</v>
      </c>
      <c r="L327" s="154">
        <f>'Aktuelle data'!B44*'Aktuelle data'!C37*30/37</f>
        <v>1943.7068918918922</v>
      </c>
      <c r="M327" s="82"/>
    </row>
    <row r="328" spans="2:13" ht="16">
      <c r="B328" s="552" t="s">
        <v>25</v>
      </c>
      <c r="C328" s="553"/>
      <c r="D328" s="155">
        <v>7900</v>
      </c>
      <c r="E328" s="152" t="s">
        <v>217</v>
      </c>
      <c r="F328" s="151">
        <f>'Aktuelle data'!C37</f>
        <v>1.5981590000000001</v>
      </c>
      <c r="G328" s="58"/>
      <c r="H328" s="57"/>
      <c r="I328" s="57"/>
      <c r="J328" s="150"/>
      <c r="K328" s="150" t="s">
        <v>225</v>
      </c>
      <c r="L328" s="154">
        <f>7900*'Aktuelle data'!C37</f>
        <v>12625.456100000001</v>
      </c>
      <c r="M328" s="163"/>
    </row>
    <row r="329" spans="2:13" ht="15.75" customHeight="1">
      <c r="B329" s="550" t="s">
        <v>33</v>
      </c>
      <c r="C329" s="551"/>
      <c r="D329" s="59"/>
      <c r="E329" s="59"/>
      <c r="F329" s="59"/>
      <c r="G329" s="59"/>
      <c r="H329" s="57"/>
      <c r="I329" s="57"/>
      <c r="J329" s="156"/>
      <c r="K329" s="156"/>
      <c r="L329" s="157">
        <f>SUM(L326:L328)</f>
        <v>383561.86569459463</v>
      </c>
      <c r="M329" s="84"/>
    </row>
    <row r="330" spans="2:13" ht="16" thickBot="1">
      <c r="B330" s="503" t="s">
        <v>34</v>
      </c>
      <c r="C330" s="504"/>
      <c r="D330" s="35"/>
      <c r="E330" s="35"/>
      <c r="F330" s="35"/>
      <c r="G330" s="35"/>
      <c r="H330" s="56"/>
      <c r="I330" s="56"/>
      <c r="J330" s="69"/>
      <c r="K330" s="69"/>
      <c r="L330" s="70">
        <f>L329/12</f>
        <v>31963.488807882884</v>
      </c>
      <c r="M330" s="64"/>
    </row>
    <row r="332" spans="2:13" ht="34">
      <c r="B332" s="60" t="s">
        <v>224</v>
      </c>
    </row>
    <row r="333" spans="2:13" ht="21">
      <c r="B333" s="499" t="s">
        <v>290</v>
      </c>
      <c r="C333" s="500"/>
      <c r="D333" s="500"/>
      <c r="E333" s="500"/>
      <c r="F333" s="500"/>
      <c r="G333" s="500"/>
      <c r="H333" s="500"/>
      <c r="I333" s="500"/>
      <c r="J333" s="500"/>
      <c r="K333" s="500"/>
      <c r="L333" s="500"/>
      <c r="M333" s="500"/>
    </row>
    <row r="335" spans="2:13">
      <c r="B335" s="556" t="s">
        <v>238</v>
      </c>
      <c r="C335" s="556"/>
      <c r="D335" s="556"/>
      <c r="E335" s="556"/>
      <c r="F335" s="556"/>
      <c r="G335" s="47"/>
      <c r="H335" s="47"/>
      <c r="I335" s="47"/>
      <c r="J335" s="47"/>
      <c r="K335" s="47"/>
      <c r="L335" s="119">
        <f>'Aktuelle data'!C38</f>
        <v>16.75</v>
      </c>
      <c r="M335" s="47"/>
    </row>
    <row r="336" spans="2:13" ht="27" customHeight="1">
      <c r="B336" s="556" t="s">
        <v>240</v>
      </c>
      <c r="C336" s="556"/>
      <c r="D336" s="556"/>
      <c r="E336" s="556"/>
      <c r="F336" s="556"/>
      <c r="G336" s="556"/>
      <c r="H336" s="556"/>
      <c r="I336" s="556"/>
      <c r="J336" s="556"/>
      <c r="K336" s="556"/>
      <c r="L336" s="556"/>
    </row>
    <row r="337" spans="1:13">
      <c r="A337" s="2"/>
      <c r="B337" s="498" t="s">
        <v>239</v>
      </c>
      <c r="C337" s="498"/>
      <c r="D337" s="498"/>
      <c r="E337" s="498"/>
      <c r="F337" s="498"/>
      <c r="G337" s="498"/>
      <c r="H337" s="498"/>
      <c r="I337" s="498"/>
      <c r="J337" s="498"/>
      <c r="K337" s="498"/>
      <c r="L337" s="498"/>
      <c r="M337" s="498"/>
    </row>
    <row r="338" spans="1:13" ht="16">
      <c r="B338" s="62"/>
    </row>
    <row r="339" spans="1:13" s="2" customFormat="1" ht="32.25" customHeight="1">
      <c r="A339"/>
      <c r="B339" s="514" t="s">
        <v>289</v>
      </c>
      <c r="C339" s="514"/>
      <c r="D339" s="514"/>
      <c r="E339" s="514"/>
      <c r="F339" s="514"/>
      <c r="G339" s="514"/>
      <c r="H339" s="514"/>
      <c r="I339" s="514"/>
      <c r="J339" s="514"/>
      <c r="K339" s="514"/>
      <c r="L339" s="514"/>
      <c r="M339" s="514"/>
    </row>
    <row r="340" spans="1:13" ht="17" thickBot="1">
      <c r="B340" s="62"/>
    </row>
    <row r="341" spans="1:13" ht="64">
      <c r="B341" s="251" t="s">
        <v>226</v>
      </c>
      <c r="C341" s="497">
        <f>'Aktuelle data'!R20</f>
        <v>455091</v>
      </c>
      <c r="D341" s="497"/>
      <c r="E341" s="78" t="s">
        <v>217</v>
      </c>
      <c r="F341" s="79">
        <f>'Aktuelle data'!C38</f>
        <v>16.75</v>
      </c>
      <c r="G341" s="79" t="s">
        <v>227</v>
      </c>
      <c r="H341" s="80">
        <v>100</v>
      </c>
      <c r="I341" s="80" t="s">
        <v>217</v>
      </c>
      <c r="J341" s="80" t="s">
        <v>228</v>
      </c>
      <c r="K341" s="81" t="s">
        <v>225</v>
      </c>
      <c r="L341" s="86">
        <f>'Aktuelle data'!C38*'Aktuelle data'!R20*30/37/100</f>
        <v>61806.277702702704</v>
      </c>
    </row>
    <row r="342" spans="1:13" ht="96">
      <c r="B342" s="252" t="s">
        <v>275</v>
      </c>
      <c r="C342" s="496">
        <f>'Aktuelle data'!B44</f>
        <v>1500</v>
      </c>
      <c r="D342" s="496"/>
      <c r="E342" s="65" t="s">
        <v>217</v>
      </c>
      <c r="F342" s="77">
        <f>'Aktuelle data'!C37</f>
        <v>1.5981590000000001</v>
      </c>
      <c r="G342" s="65" t="s">
        <v>217</v>
      </c>
      <c r="H342" s="76">
        <f>'Aktuelle data'!C38</f>
        <v>16.75</v>
      </c>
      <c r="I342" s="65" t="s">
        <v>217</v>
      </c>
      <c r="J342" s="57" t="s">
        <v>229</v>
      </c>
      <c r="K342" s="65" t="s">
        <v>225</v>
      </c>
      <c r="L342" s="82">
        <v>294.32</v>
      </c>
    </row>
    <row r="343" spans="1:13" ht="64">
      <c r="A343" s="75"/>
      <c r="B343" s="252" t="s">
        <v>243</v>
      </c>
      <c r="C343" s="496">
        <v>7900</v>
      </c>
      <c r="D343" s="496"/>
      <c r="E343" s="57" t="s">
        <v>217</v>
      </c>
      <c r="F343" s="65">
        <f>'Aktuelle data'!C37</f>
        <v>1.5981590000000001</v>
      </c>
      <c r="G343" s="57" t="s">
        <v>217</v>
      </c>
      <c r="H343" s="76">
        <f>'Aktuelle data'!C38</f>
        <v>16.75</v>
      </c>
      <c r="I343" s="65" t="s">
        <v>227</v>
      </c>
      <c r="J343" s="65">
        <v>100</v>
      </c>
      <c r="K343" s="65" t="s">
        <v>225</v>
      </c>
      <c r="L343" s="83">
        <f>7900*'Aktuelle data'!C37*'Aktuelle data'!C38/100</f>
        <v>2114.7638967500002</v>
      </c>
    </row>
    <row r="344" spans="1:13" ht="48">
      <c r="B344" s="252" t="s">
        <v>245</v>
      </c>
      <c r="C344" s="58"/>
      <c r="D344" s="59"/>
      <c r="E344" s="59"/>
      <c r="F344" s="59"/>
      <c r="G344" s="59"/>
      <c r="H344" s="57"/>
      <c r="I344" s="57"/>
      <c r="J344" s="59"/>
      <c r="K344" s="59"/>
      <c r="L344" s="84">
        <f>SUM(L341:L343)</f>
        <v>64215.361599452706</v>
      </c>
    </row>
    <row r="345" spans="1:13" ht="49" thickBot="1">
      <c r="B345" s="253" t="s">
        <v>246</v>
      </c>
      <c r="C345" s="85"/>
      <c r="D345" s="35"/>
      <c r="E345" s="35"/>
      <c r="F345" s="35"/>
      <c r="G345" s="35"/>
      <c r="H345" s="56"/>
      <c r="I345" s="56"/>
      <c r="J345" s="35"/>
      <c r="K345" s="35"/>
      <c r="L345" s="64">
        <f>L344/12</f>
        <v>5351.2801332877252</v>
      </c>
      <c r="M345" s="75"/>
    </row>
    <row r="346" spans="1:13">
      <c r="B346" s="63"/>
      <c r="C346" s="67"/>
      <c r="H346" s="61"/>
      <c r="I346" s="61"/>
      <c r="L346" s="68"/>
    </row>
    <row r="347" spans="1:13">
      <c r="B347" s="63"/>
      <c r="C347" s="67"/>
      <c r="H347" s="61"/>
      <c r="I347" s="61"/>
      <c r="L347" s="68"/>
    </row>
    <row r="348" spans="1:13">
      <c r="B348" s="63"/>
      <c r="C348" s="67"/>
      <c r="H348" s="61"/>
      <c r="I348" s="61"/>
      <c r="L348" s="68"/>
    </row>
    <row r="349" spans="1:13">
      <c r="B349" s="63"/>
      <c r="C349" s="67"/>
      <c r="H349" s="61"/>
      <c r="I349" s="61"/>
      <c r="L349" s="68"/>
    </row>
    <row r="350" spans="1:13">
      <c r="B350" s="63"/>
      <c r="C350" s="67"/>
      <c r="H350" s="61"/>
      <c r="I350" s="61"/>
      <c r="L350" s="68"/>
    </row>
    <row r="351" spans="1:13">
      <c r="B351" s="63"/>
      <c r="C351" s="67"/>
      <c r="H351" s="61"/>
      <c r="I351" s="61"/>
      <c r="L351" s="68"/>
    </row>
    <row r="352" spans="1:13">
      <c r="B352" s="63"/>
      <c r="C352" s="67"/>
      <c r="H352" s="61"/>
      <c r="I352" s="61"/>
      <c r="L352" s="68"/>
    </row>
    <row r="353" spans="1:13">
      <c r="B353" s="63"/>
      <c r="C353" s="67"/>
      <c r="H353" s="61"/>
      <c r="I353" s="61"/>
      <c r="L353" s="68"/>
    </row>
    <row r="354" spans="1:13">
      <c r="B354" s="63"/>
      <c r="C354" s="67"/>
      <c r="H354" s="61"/>
      <c r="I354" s="61"/>
      <c r="L354" s="68"/>
    </row>
    <row r="355" spans="1:13">
      <c r="B355" s="63"/>
      <c r="C355" s="67"/>
      <c r="H355" s="61"/>
      <c r="I355" s="61"/>
      <c r="L355" s="68"/>
    </row>
    <row r="356" spans="1:13">
      <c r="B356" s="63"/>
      <c r="C356" s="67"/>
      <c r="H356" s="61"/>
      <c r="I356" s="61"/>
      <c r="L356" s="68"/>
    </row>
    <row r="357" spans="1:13">
      <c r="B357" s="63"/>
      <c r="C357" s="67"/>
      <c r="H357" s="61"/>
      <c r="I357" s="61"/>
      <c r="L357" s="68"/>
    </row>
    <row r="358" spans="1:13">
      <c r="B358" s="63"/>
      <c r="C358" s="67"/>
      <c r="H358" s="61"/>
      <c r="I358" s="61"/>
      <c r="L358" s="68"/>
    </row>
    <row r="359" spans="1:13">
      <c r="B359" s="63"/>
      <c r="C359" s="67"/>
      <c r="H359" s="61"/>
      <c r="I359" s="61"/>
      <c r="L359" s="68"/>
    </row>
    <row r="360" spans="1:13">
      <c r="B360" s="63"/>
      <c r="C360" s="67"/>
      <c r="H360" s="61"/>
      <c r="I360" s="61"/>
      <c r="L360" s="68"/>
    </row>
    <row r="361" spans="1:13" ht="20">
      <c r="A361" s="74"/>
      <c r="B361" s="63"/>
      <c r="C361" s="67"/>
      <c r="H361" s="61"/>
      <c r="I361" s="61"/>
      <c r="L361" s="68"/>
    </row>
    <row r="362" spans="1:13">
      <c r="B362" s="63"/>
      <c r="C362" s="67"/>
      <c r="H362" s="61"/>
      <c r="I362" s="61"/>
      <c r="L362" s="68"/>
    </row>
    <row r="363" spans="1:13" ht="20">
      <c r="B363" s="93" t="s">
        <v>291</v>
      </c>
      <c r="C363" s="93"/>
      <c r="D363" s="93"/>
      <c r="E363" s="93"/>
      <c r="F363" s="93"/>
      <c r="G363" s="94"/>
      <c r="H363" s="93"/>
      <c r="I363" s="93"/>
      <c r="J363" s="93"/>
      <c r="K363" s="93"/>
      <c r="L363" s="93"/>
      <c r="M363" s="74"/>
    </row>
    <row r="364" spans="1:13">
      <c r="B364" s="71"/>
    </row>
    <row r="365" spans="1:13" ht="31.25" customHeight="1">
      <c r="B365" s="494" t="s">
        <v>233</v>
      </c>
      <c r="C365" s="494"/>
      <c r="D365" s="494"/>
      <c r="E365" s="494"/>
      <c r="F365" s="494"/>
      <c r="G365" s="494"/>
      <c r="H365" s="494"/>
      <c r="I365" s="494"/>
      <c r="J365" s="494"/>
      <c r="K365" s="494"/>
      <c r="L365" s="28">
        <f>'Aktuelle data'!C37</f>
        <v>1.5981590000000001</v>
      </c>
    </row>
    <row r="366" spans="1:13">
      <c r="B366" s="27"/>
      <c r="C366" s="27"/>
      <c r="D366" s="27"/>
      <c r="E366" s="27"/>
      <c r="F366" s="27"/>
      <c r="G366" s="27"/>
      <c r="H366" s="27"/>
      <c r="I366" s="27"/>
      <c r="J366" s="27"/>
      <c r="K366" s="27"/>
      <c r="L366" s="28"/>
    </row>
    <row r="367" spans="1:13" ht="20">
      <c r="B367" s="495" t="s">
        <v>292</v>
      </c>
      <c r="C367" s="495"/>
      <c r="D367" s="495"/>
      <c r="E367" s="495"/>
      <c r="F367" s="495"/>
      <c r="G367" s="495"/>
      <c r="H367" s="495"/>
      <c r="I367" s="495"/>
      <c r="J367" s="495"/>
      <c r="K367" s="495"/>
      <c r="L367" s="495"/>
    </row>
    <row r="368" spans="1:13" ht="21" thickBot="1">
      <c r="B368" s="74"/>
      <c r="C368" s="74"/>
      <c r="D368" s="74"/>
      <c r="E368" s="74"/>
      <c r="F368" s="74"/>
      <c r="G368" s="74"/>
      <c r="H368" s="74"/>
      <c r="I368" s="74"/>
      <c r="J368" s="74"/>
      <c r="K368" s="74"/>
      <c r="L368" s="74"/>
    </row>
    <row r="369" spans="3:10">
      <c r="C369" s="486" t="s">
        <v>218</v>
      </c>
      <c r="D369" s="487"/>
      <c r="E369" s="487"/>
      <c r="F369" s="487"/>
      <c r="G369" s="487"/>
      <c r="H369" s="487"/>
      <c r="I369" s="487"/>
      <c r="J369" s="254">
        <f>'Aktuelle data'!C37</f>
        <v>1.5981590000000001</v>
      </c>
    </row>
    <row r="370" spans="3:10" ht="55.5" customHeight="1">
      <c r="C370" s="255" t="s">
        <v>215</v>
      </c>
      <c r="D370" s="256" t="s">
        <v>211</v>
      </c>
      <c r="E370" s="458" t="s">
        <v>212</v>
      </c>
      <c r="F370" s="458"/>
      <c r="G370" s="458" t="s">
        <v>213</v>
      </c>
      <c r="H370" s="458"/>
      <c r="I370" s="458" t="s">
        <v>214</v>
      </c>
      <c r="J370" s="459"/>
    </row>
    <row r="371" spans="3:10">
      <c r="C371" s="195">
        <v>1000</v>
      </c>
      <c r="D371" s="132">
        <f>'Aktuelle data'!AD7</f>
        <v>1598.1590000000001</v>
      </c>
      <c r="E371" s="194"/>
      <c r="F371" s="133">
        <f>'Aktuelle data'!AE7</f>
        <v>133.17991666666668</v>
      </c>
      <c r="G371" s="194"/>
      <c r="H371" s="133">
        <f>'Aktuelle data'!AF7</f>
        <v>311.96063680000003</v>
      </c>
      <c r="I371" s="194"/>
      <c r="J371" s="134">
        <f>'Aktuelle data'!AG7</f>
        <v>1910.1196368000001</v>
      </c>
    </row>
    <row r="372" spans="3:10">
      <c r="C372" s="131">
        <v>1500</v>
      </c>
      <c r="D372" s="132">
        <f>'Aktuelle data'!AD8</f>
        <v>2397.2385000000004</v>
      </c>
      <c r="E372" s="59"/>
      <c r="F372" s="133">
        <f>'Aktuelle data'!AE8</f>
        <v>199.76987500000004</v>
      </c>
      <c r="G372" s="59"/>
      <c r="H372" s="133">
        <f>'Aktuelle data'!AF8</f>
        <v>467.94095520000008</v>
      </c>
      <c r="I372" s="59"/>
      <c r="J372" s="134">
        <f>'Aktuelle data'!AG8</f>
        <v>2865.1794552000006</v>
      </c>
    </row>
    <row r="373" spans="3:10">
      <c r="C373" s="131">
        <v>2500</v>
      </c>
      <c r="D373" s="132">
        <f>'Aktuelle data'!AD9</f>
        <v>3995.3975000000005</v>
      </c>
      <c r="E373" s="59"/>
      <c r="F373" s="133">
        <f>'Aktuelle data'!AE9</f>
        <v>332.94979166666673</v>
      </c>
      <c r="G373" s="59"/>
      <c r="H373" s="133">
        <f>'Aktuelle data'!AF9</f>
        <v>779.90159200000005</v>
      </c>
      <c r="I373" s="59"/>
      <c r="J373" s="134">
        <f>'Aktuelle data'!AG9</f>
        <v>4775.2990920000002</v>
      </c>
    </row>
    <row r="374" spans="3:10">
      <c r="C374" s="131">
        <v>2800</v>
      </c>
      <c r="D374" s="132">
        <f>'Aktuelle data'!AD10</f>
        <v>4474.8452000000007</v>
      </c>
      <c r="E374" s="59"/>
      <c r="F374" s="133">
        <f>'Aktuelle data'!AE10</f>
        <v>372.90376666666674</v>
      </c>
      <c r="G374" s="59"/>
      <c r="H374" s="133">
        <f>'Aktuelle data'!AF10</f>
        <v>873.48978304000002</v>
      </c>
      <c r="I374" s="59"/>
      <c r="J374" s="134">
        <f>'Aktuelle data'!AG10</f>
        <v>5348.3349830400002</v>
      </c>
    </row>
    <row r="375" spans="3:10">
      <c r="C375" s="131">
        <v>3100</v>
      </c>
      <c r="D375" s="132">
        <f>'Aktuelle data'!AD11</f>
        <v>4954.2929000000004</v>
      </c>
      <c r="E375" s="59"/>
      <c r="F375" s="133">
        <f>'Aktuelle data'!AE11</f>
        <v>412.8577416666667</v>
      </c>
      <c r="G375" s="59"/>
      <c r="H375" s="133">
        <f>'Aktuelle data'!AF11</f>
        <v>967.07797407999999</v>
      </c>
      <c r="I375" s="59"/>
      <c r="J375" s="134">
        <f>'Aktuelle data'!AG11</f>
        <v>5921.3708740800002</v>
      </c>
    </row>
    <row r="376" spans="3:10">
      <c r="C376" s="131">
        <v>3400</v>
      </c>
      <c r="D376" s="132">
        <f>'Aktuelle data'!AD12</f>
        <v>5433.7406000000001</v>
      </c>
      <c r="E376" s="59"/>
      <c r="F376" s="133">
        <f>'Aktuelle data'!AE12</f>
        <v>452.81171666666665</v>
      </c>
      <c r="G376" s="59"/>
      <c r="H376" s="133">
        <f>'Aktuelle data'!AF12</f>
        <v>1060.66616512</v>
      </c>
      <c r="I376" s="59"/>
      <c r="J376" s="134">
        <f>'Aktuelle data'!AG12</f>
        <v>6494.4067651200003</v>
      </c>
    </row>
    <row r="377" spans="3:10">
      <c r="C377" s="131">
        <v>3600</v>
      </c>
      <c r="D377" s="132">
        <f>'Aktuelle data'!AD13</f>
        <v>5753.3724000000002</v>
      </c>
      <c r="E377" s="59"/>
      <c r="F377" s="133">
        <f>'Aktuelle data'!AE13</f>
        <v>479.4477</v>
      </c>
      <c r="G377" s="59"/>
      <c r="H377" s="133">
        <f>'Aktuelle data'!AF13</f>
        <v>1123.0582924799999</v>
      </c>
      <c r="I377" s="59"/>
      <c r="J377" s="134">
        <f>'Aktuelle data'!AG13</f>
        <v>6876.4306924800003</v>
      </c>
    </row>
    <row r="378" spans="3:10">
      <c r="C378" s="131">
        <v>3800</v>
      </c>
      <c r="D378" s="132">
        <f>'Aktuelle data'!AD14</f>
        <v>6073.0042000000003</v>
      </c>
      <c r="E378" s="59"/>
      <c r="F378" s="133">
        <f>'Aktuelle data'!AE14</f>
        <v>506.08368333333334</v>
      </c>
      <c r="G378" s="59"/>
      <c r="H378" s="133">
        <f>'Aktuelle data'!AF14</f>
        <v>1185.45041984</v>
      </c>
      <c r="I378" s="59"/>
      <c r="J378" s="134">
        <f>'Aktuelle data'!AG14</f>
        <v>7258.4546198400003</v>
      </c>
    </row>
    <row r="379" spans="3:10">
      <c r="C379" s="131">
        <v>4100</v>
      </c>
      <c r="D379" s="132">
        <f>'Aktuelle data'!AD15</f>
        <v>6552.4519</v>
      </c>
      <c r="E379" s="59"/>
      <c r="F379" s="133">
        <f>'Aktuelle data'!AE15</f>
        <v>546.0376583333333</v>
      </c>
      <c r="G379" s="59"/>
      <c r="H379" s="133">
        <f>'Aktuelle data'!AF15</f>
        <v>1279.0386108799999</v>
      </c>
      <c r="I379" s="59"/>
      <c r="J379" s="134">
        <f>'Aktuelle data'!AG15</f>
        <v>7831.4905108799994</v>
      </c>
    </row>
    <row r="380" spans="3:10">
      <c r="C380" s="131">
        <v>4300</v>
      </c>
      <c r="D380" s="132">
        <f>'Aktuelle data'!AD16</f>
        <v>6872.0837000000001</v>
      </c>
      <c r="E380" s="59"/>
      <c r="F380" s="133">
        <f>'Aktuelle data'!AE16</f>
        <v>572.67364166666664</v>
      </c>
      <c r="G380" s="59"/>
      <c r="H380" s="133">
        <f>'Aktuelle data'!AF16</f>
        <v>1341.43073824</v>
      </c>
      <c r="I380" s="59"/>
      <c r="J380" s="134">
        <f>'Aktuelle data'!AG16</f>
        <v>8213.5144382399994</v>
      </c>
    </row>
    <row r="381" spans="3:10">
      <c r="C381" s="131">
        <v>4800</v>
      </c>
      <c r="D381" s="132">
        <f>'Aktuelle data'!AD17</f>
        <v>7671.1632000000009</v>
      </c>
      <c r="E381" s="59"/>
      <c r="F381" s="133">
        <f>'Aktuelle data'!AE17</f>
        <v>639.26360000000011</v>
      </c>
      <c r="G381" s="59"/>
      <c r="H381" s="133">
        <f>'Aktuelle data'!AF17</f>
        <v>1497.41105664</v>
      </c>
      <c r="I381" s="59"/>
      <c r="J381" s="134">
        <f>'Aktuelle data'!AG17</f>
        <v>9168.5742566400004</v>
      </c>
    </row>
    <row r="382" spans="3:10">
      <c r="C382" s="131">
        <v>4900</v>
      </c>
      <c r="D382" s="132">
        <f>'Aktuelle data'!AD18</f>
        <v>7830.9791000000005</v>
      </c>
      <c r="E382" s="59"/>
      <c r="F382" s="133">
        <f>'Aktuelle data'!AE18</f>
        <v>652.58159166666667</v>
      </c>
      <c r="G382" s="59"/>
      <c r="H382" s="133">
        <f>'Aktuelle data'!AF18</f>
        <v>1528.6071203200001</v>
      </c>
      <c r="I382" s="59"/>
      <c r="J382" s="134">
        <f>'Aktuelle data'!AG18</f>
        <v>9359.5862203200013</v>
      </c>
    </row>
    <row r="383" spans="3:10">
      <c r="C383" s="131">
        <v>5200</v>
      </c>
      <c r="D383" s="132">
        <f>'Aktuelle data'!AD19</f>
        <v>8310.4268000000011</v>
      </c>
      <c r="E383" s="59"/>
      <c r="F383" s="133">
        <f>'Aktuelle data'!AE19</f>
        <v>692.5355666666668</v>
      </c>
      <c r="G383" s="59"/>
      <c r="H383" s="133">
        <f>'Aktuelle data'!AF19</f>
        <v>1622.19531136</v>
      </c>
      <c r="I383" s="59"/>
      <c r="J383" s="134">
        <f>'Aktuelle data'!AG19</f>
        <v>9932.6221113600004</v>
      </c>
    </row>
    <row r="384" spans="3:10">
      <c r="C384" s="131">
        <v>6000</v>
      </c>
      <c r="D384" s="132">
        <f>'Aktuelle data'!AD20</f>
        <v>9588.9540000000015</v>
      </c>
      <c r="E384" s="59"/>
      <c r="F384" s="133">
        <f>'Aktuelle data'!AE20</f>
        <v>799.07950000000017</v>
      </c>
      <c r="G384" s="59"/>
      <c r="H384" s="133">
        <f>'Aktuelle data'!AF20</f>
        <v>1871.7638208000003</v>
      </c>
      <c r="I384" s="59"/>
      <c r="J384" s="134">
        <f>'Aktuelle data'!AG20</f>
        <v>11460.717820800002</v>
      </c>
    </row>
    <row r="385" spans="2:10">
      <c r="C385" s="131">
        <v>7000</v>
      </c>
      <c r="D385" s="132">
        <f>'Aktuelle data'!AD21</f>
        <v>11187.113000000001</v>
      </c>
      <c r="E385" s="59"/>
      <c r="F385" s="133">
        <f>'Aktuelle data'!AE21</f>
        <v>932.25941666666677</v>
      </c>
      <c r="G385" s="59"/>
      <c r="H385" s="133">
        <f>'Aktuelle data'!AF21</f>
        <v>2183.7244576000003</v>
      </c>
      <c r="I385" s="59"/>
      <c r="J385" s="134">
        <f>'Aktuelle data'!AG21</f>
        <v>13370.837457600002</v>
      </c>
    </row>
    <row r="386" spans="2:10">
      <c r="C386" s="135">
        <v>8100</v>
      </c>
      <c r="D386" s="132">
        <f>'Aktuelle data'!AD22</f>
        <v>12945.0879</v>
      </c>
      <c r="E386" s="59"/>
      <c r="F386" s="133">
        <f>'Aktuelle data'!AE22</f>
        <v>1078.757325</v>
      </c>
      <c r="G386" s="59"/>
      <c r="H386" s="133">
        <f>'Aktuelle data'!AF22</f>
        <v>2526.8811580800002</v>
      </c>
      <c r="I386" s="59"/>
      <c r="J386" s="134">
        <f>'Aktuelle data'!AG22</f>
        <v>15471.969058080002</v>
      </c>
    </row>
    <row r="387" spans="2:10">
      <c r="C387" s="135">
        <v>9100</v>
      </c>
      <c r="D387" s="132">
        <f>'Aktuelle data'!AD23</f>
        <v>14543.2469</v>
      </c>
      <c r="E387" s="59"/>
      <c r="F387" s="133">
        <f>'Aktuelle data'!AE23</f>
        <v>1211.9372416666668</v>
      </c>
      <c r="G387" s="59"/>
      <c r="H387" s="133">
        <f>'Aktuelle data'!AF23</f>
        <v>2838.8417948799997</v>
      </c>
      <c r="I387" s="59"/>
      <c r="J387" s="134">
        <f>'Aktuelle data'!AG23</f>
        <v>17382.08869488</v>
      </c>
    </row>
    <row r="388" spans="2:10">
      <c r="C388" s="135">
        <v>12000</v>
      </c>
      <c r="D388" s="132">
        <f>'Aktuelle data'!AD24</f>
        <v>19177.908000000003</v>
      </c>
      <c r="E388" s="59"/>
      <c r="F388" s="133">
        <f>'Aktuelle data'!AE24</f>
        <v>1598.1590000000003</v>
      </c>
      <c r="G388" s="59"/>
      <c r="H388" s="133">
        <f>'Aktuelle data'!AF24</f>
        <v>3743.5276416000006</v>
      </c>
      <c r="I388" s="59"/>
      <c r="J388" s="134">
        <f>'Aktuelle data'!AG24</f>
        <v>22921.435641600005</v>
      </c>
    </row>
    <row r="389" spans="2:10">
      <c r="C389" s="135">
        <v>20300</v>
      </c>
      <c r="D389" s="132">
        <f>'Aktuelle data'!AD25</f>
        <v>32442.627700000001</v>
      </c>
      <c r="E389" s="59"/>
      <c r="F389" s="133">
        <f>'Aktuelle data'!AE25</f>
        <v>2703.5523083333333</v>
      </c>
      <c r="G389" s="59"/>
      <c r="H389" s="133">
        <f>'Aktuelle data'!AF25</f>
        <v>6332.8009270399998</v>
      </c>
      <c r="I389" s="59"/>
      <c r="J389" s="134">
        <f>'Aktuelle data'!AG25</f>
        <v>38775.428627040004</v>
      </c>
    </row>
    <row r="390" spans="2:10">
      <c r="C390" s="135">
        <v>30600</v>
      </c>
      <c r="D390" s="132">
        <f>'Aktuelle data'!AD26</f>
        <v>48903.665400000005</v>
      </c>
      <c r="E390" s="59"/>
      <c r="F390" s="133">
        <f>'Aktuelle data'!AE26</f>
        <v>4075.3054500000003</v>
      </c>
      <c r="G390" s="59"/>
      <c r="H390" s="133">
        <f>'Aktuelle data'!AF26</f>
        <v>9545.9954860800008</v>
      </c>
      <c r="I390" s="59"/>
      <c r="J390" s="134">
        <f>'Aktuelle data'!AG26</f>
        <v>58449.660886080004</v>
      </c>
    </row>
    <row r="391" spans="2:10" ht="16" thickBot="1">
      <c r="B391" s="30" t="s">
        <v>234</v>
      </c>
      <c r="C391" s="89">
        <v>41000</v>
      </c>
      <c r="D391" s="132">
        <f>'Aktuelle data'!AD27</f>
        <v>65524.519000000008</v>
      </c>
      <c r="E391" s="35"/>
      <c r="F391" s="133">
        <f>'Aktuelle data'!AE27</f>
        <v>5460.3765833333337</v>
      </c>
      <c r="G391" s="35"/>
      <c r="H391" s="133">
        <f>'Aktuelle data'!AF27</f>
        <v>12790.386108800001</v>
      </c>
      <c r="I391" s="35"/>
      <c r="J391" s="134">
        <f>'Aktuelle data'!AG27</f>
        <v>78314.905108800012</v>
      </c>
    </row>
    <row r="392" spans="2:10">
      <c r="B392" s="72"/>
    </row>
    <row r="393" spans="2:10">
      <c r="B393" s="29" t="s">
        <v>232</v>
      </c>
    </row>
    <row r="425" spans="2:12" ht="21">
      <c r="B425" s="485" t="s">
        <v>293</v>
      </c>
      <c r="C425" s="485"/>
      <c r="D425" s="485"/>
      <c r="E425" s="485"/>
      <c r="F425" s="485"/>
      <c r="G425" s="485"/>
      <c r="H425" s="485"/>
      <c r="I425" s="485"/>
      <c r="J425" s="485"/>
      <c r="K425" s="485"/>
      <c r="L425" s="485"/>
    </row>
    <row r="426" spans="2:12" ht="16" thickBot="1"/>
    <row r="427" spans="2:12">
      <c r="B427" s="537" t="s">
        <v>236</v>
      </c>
      <c r="C427" s="538"/>
      <c r="D427" s="538"/>
      <c r="E427" s="538"/>
      <c r="F427" s="538"/>
      <c r="G427" s="538"/>
      <c r="H427" s="538"/>
      <c r="I427" s="538"/>
      <c r="J427" s="54"/>
    </row>
    <row r="428" spans="2:12">
      <c r="B428" s="530" t="s">
        <v>276</v>
      </c>
      <c r="C428" s="531"/>
      <c r="D428" s="531"/>
      <c r="E428" s="531"/>
      <c r="J428" s="26"/>
    </row>
    <row r="429" spans="2:12" ht="16" thickBot="1">
      <c r="B429" s="532" t="s">
        <v>277</v>
      </c>
      <c r="C429" s="533"/>
      <c r="D429" s="533"/>
      <c r="E429" s="533"/>
      <c r="F429" s="533"/>
      <c r="G429" s="533"/>
      <c r="H429" s="533"/>
      <c r="I429" s="533"/>
      <c r="J429" s="534"/>
    </row>
    <row r="430" spans="2:12" ht="16" thickBot="1"/>
    <row r="431" spans="2:12">
      <c r="B431" s="481" t="s">
        <v>263</v>
      </c>
      <c r="C431" s="482"/>
      <c r="D431" s="482"/>
      <c r="E431" s="482"/>
      <c r="F431" s="482"/>
      <c r="G431" s="482"/>
      <c r="H431" s="482"/>
      <c r="I431" s="482"/>
      <c r="J431" s="482"/>
      <c r="K431" s="482"/>
      <c r="L431" s="483"/>
    </row>
    <row r="432" spans="2:12">
      <c r="B432" s="535" t="s">
        <v>32</v>
      </c>
      <c r="C432" s="536"/>
      <c r="D432" s="59"/>
      <c r="E432" s="59"/>
      <c r="F432" s="59"/>
      <c r="G432" s="59"/>
      <c r="H432" s="59"/>
      <c r="I432" s="59"/>
      <c r="J432" s="59"/>
      <c r="K432" s="59"/>
      <c r="L432" s="114">
        <f>'Aktuelle data'!E29</f>
        <v>614211</v>
      </c>
    </row>
    <row r="433" spans="2:13">
      <c r="B433" s="158" t="s">
        <v>237</v>
      </c>
      <c r="C433" s="153"/>
      <c r="D433" s="153"/>
      <c r="E433" s="153"/>
      <c r="F433" s="159">
        <v>30000</v>
      </c>
      <c r="G433" s="59" t="s">
        <v>217</v>
      </c>
      <c r="H433" s="59">
        <f>'Aktuelle data'!C37</f>
        <v>1.5981590000000001</v>
      </c>
      <c r="I433" s="59"/>
      <c r="J433" s="59"/>
      <c r="K433" s="59" t="s">
        <v>225</v>
      </c>
      <c r="L433" s="114">
        <f>30000*'Aktuelle data'!C37</f>
        <v>47944.770000000004</v>
      </c>
    </row>
    <row r="434" spans="2:13">
      <c r="B434" s="160" t="s">
        <v>33</v>
      </c>
      <c r="C434" s="59"/>
      <c r="D434" s="59"/>
      <c r="E434" s="59"/>
      <c r="F434" s="59"/>
      <c r="G434" s="59"/>
      <c r="H434" s="59"/>
      <c r="I434" s="59"/>
      <c r="J434" s="59"/>
      <c r="K434" s="59"/>
      <c r="L434" s="115">
        <f>SUM(L432:L433)</f>
        <v>662155.77</v>
      </c>
    </row>
    <row r="435" spans="2:13" ht="16" thickBot="1">
      <c r="B435" s="527" t="s">
        <v>34</v>
      </c>
      <c r="C435" s="528"/>
      <c r="D435" s="35"/>
      <c r="E435" s="35"/>
      <c r="F435" s="35"/>
      <c r="G435" s="35"/>
      <c r="H435" s="35"/>
      <c r="I435" s="35"/>
      <c r="J435" s="35"/>
      <c r="K435" s="35"/>
      <c r="L435" s="107">
        <f>L434/12</f>
        <v>55179.647499999999</v>
      </c>
    </row>
    <row r="437" spans="2:13" ht="20">
      <c r="B437" s="529" t="s">
        <v>294</v>
      </c>
      <c r="C437" s="529"/>
      <c r="D437" s="529"/>
      <c r="E437" s="529"/>
      <c r="F437" s="529"/>
      <c r="G437" s="529"/>
      <c r="H437" s="529"/>
      <c r="I437" s="529"/>
      <c r="J437" s="529"/>
      <c r="K437" s="529"/>
      <c r="L437" s="529"/>
      <c r="M437" s="88"/>
    </row>
    <row r="438" spans="2:13" ht="20">
      <c r="B438" s="94"/>
      <c r="C438" s="94"/>
      <c r="D438" s="94"/>
      <c r="E438" s="94"/>
      <c r="F438" s="94"/>
      <c r="G438" s="94"/>
      <c r="H438" s="94"/>
      <c r="I438" s="94"/>
      <c r="J438" s="94"/>
      <c r="K438" s="94"/>
      <c r="L438" s="94"/>
      <c r="M438" s="88"/>
    </row>
    <row r="439" spans="2:13">
      <c r="B439" s="525" t="s">
        <v>241</v>
      </c>
      <c r="C439" s="525"/>
      <c r="D439" s="525"/>
      <c r="E439" s="525"/>
      <c r="F439" s="525"/>
      <c r="G439" s="525"/>
      <c r="H439" s="525"/>
      <c r="I439" s="525"/>
      <c r="J439" s="525"/>
      <c r="K439" s="525"/>
      <c r="L439" s="1">
        <f>'Aktuelle data'!C39</f>
        <v>19.52</v>
      </c>
    </row>
    <row r="440" spans="2:13" ht="30.25" customHeight="1">
      <c r="B440" s="515" t="s">
        <v>242</v>
      </c>
      <c r="C440" s="524"/>
      <c r="D440" s="524"/>
      <c r="E440" s="524"/>
      <c r="F440" s="524"/>
      <c r="G440" s="524"/>
      <c r="H440" s="524"/>
      <c r="I440" s="524"/>
      <c r="J440" s="524"/>
      <c r="K440" s="524"/>
      <c r="L440" s="524"/>
      <c r="M440" s="524"/>
    </row>
    <row r="442" spans="2:13" ht="31" customHeight="1">
      <c r="B442" s="526" t="s">
        <v>295</v>
      </c>
      <c r="C442" s="526"/>
      <c r="D442" s="526"/>
      <c r="E442" s="526"/>
      <c r="F442" s="526"/>
      <c r="G442" s="526"/>
      <c r="H442" s="526"/>
      <c r="I442" s="526"/>
      <c r="J442" s="526"/>
      <c r="K442" s="526"/>
      <c r="L442" s="526"/>
    </row>
    <row r="443" spans="2:13" ht="16" thickBot="1">
      <c r="B443" s="99"/>
    </row>
    <row r="444" spans="2:13" ht="61">
      <c r="B444" s="257" t="s">
        <v>244</v>
      </c>
      <c r="C444" s="522">
        <f>'Aktuelle data'!S29</f>
        <v>628698</v>
      </c>
      <c r="D444" s="522"/>
      <c r="E444" s="108" t="s">
        <v>217</v>
      </c>
      <c r="F444" s="109">
        <f>'Aktuelle data'!C39</f>
        <v>19.52</v>
      </c>
      <c r="G444" s="110" t="s">
        <v>227</v>
      </c>
      <c r="H444" s="108">
        <v>100</v>
      </c>
      <c r="I444" s="108"/>
      <c r="J444" s="108"/>
      <c r="K444" s="110" t="s">
        <v>225</v>
      </c>
      <c r="L444" s="111">
        <f>'Aktuelle data'!S29*'Aktuelle data'!C39/100</f>
        <v>122721.84959999999</v>
      </c>
    </row>
    <row r="445" spans="2:13" ht="64">
      <c r="B445" s="258" t="s">
        <v>243</v>
      </c>
      <c r="C445" s="523">
        <v>30000</v>
      </c>
      <c r="D445" s="523"/>
      <c r="E445" s="59" t="s">
        <v>217</v>
      </c>
      <c r="F445" s="59">
        <f>'Aktuelle data'!C37</f>
        <v>1.5981590000000001</v>
      </c>
      <c r="G445" s="59" t="s">
        <v>217</v>
      </c>
      <c r="H445" s="112">
        <f>'Aktuelle data'!C39</f>
        <v>19.52</v>
      </c>
      <c r="I445" s="59" t="s">
        <v>227</v>
      </c>
      <c r="J445" s="113">
        <v>100</v>
      </c>
      <c r="K445" s="59" t="s">
        <v>225</v>
      </c>
      <c r="L445" s="114">
        <f>30000*'Aktuelle data'!C37*'Aktuelle data'!C39/100</f>
        <v>9358.8191040000002</v>
      </c>
    </row>
    <row r="446" spans="2:13" ht="48">
      <c r="B446" s="259" t="s">
        <v>245</v>
      </c>
      <c r="C446" s="59"/>
      <c r="D446" s="59"/>
      <c r="E446" s="59"/>
      <c r="F446" s="59"/>
      <c r="G446" s="59"/>
      <c r="H446" s="59"/>
      <c r="I446" s="59"/>
      <c r="J446" s="59"/>
      <c r="K446" s="59"/>
      <c r="L446" s="115">
        <f>SUM(L444:L445)</f>
        <v>132080.66870399998</v>
      </c>
    </row>
    <row r="447" spans="2:13" ht="49" thickBot="1">
      <c r="B447" s="260" t="s">
        <v>246</v>
      </c>
      <c r="C447" s="35"/>
      <c r="D447" s="35"/>
      <c r="E447" s="35"/>
      <c r="F447" s="35"/>
      <c r="G447" s="35"/>
      <c r="H447" s="35"/>
      <c r="I447" s="35"/>
      <c r="J447" s="35"/>
      <c r="K447" s="35"/>
      <c r="L447" s="107">
        <f>L446/12</f>
        <v>11006.722391999998</v>
      </c>
    </row>
    <row r="448" spans="2:13">
      <c r="B448" s="100"/>
      <c r="C448" s="101"/>
      <c r="D448" s="102"/>
    </row>
    <row r="449" spans="1:4">
      <c r="B449" s="100"/>
      <c r="C449" s="103"/>
      <c r="D449" s="104"/>
    </row>
    <row r="450" spans="1:4">
      <c r="B450" s="105"/>
      <c r="C450" s="101"/>
      <c r="D450" s="106"/>
    </row>
    <row r="451" spans="1:4">
      <c r="B451" s="105"/>
      <c r="C451" s="101"/>
      <c r="D451" s="106"/>
    </row>
    <row r="462" spans="1:4">
      <c r="A462" t="s">
        <v>335</v>
      </c>
    </row>
    <row r="477" spans="2:12" ht="21">
      <c r="B477" s="484" t="s">
        <v>272</v>
      </c>
      <c r="C477" s="484"/>
      <c r="D477" s="484"/>
      <c r="E477" s="484"/>
      <c r="F477" s="484"/>
      <c r="G477" s="484"/>
      <c r="H477" s="484"/>
    </row>
    <row r="478" spans="2:12" ht="16" thickBot="1"/>
    <row r="479" spans="2:12" ht="15.75" customHeight="1">
      <c r="B479" s="468" t="s">
        <v>270</v>
      </c>
      <c r="C479" s="469"/>
      <c r="D479" s="469"/>
      <c r="E479" s="469"/>
      <c r="F479" s="469"/>
      <c r="G479" s="469"/>
      <c r="H479" s="469"/>
      <c r="I479" s="469"/>
      <c r="J479" s="469"/>
      <c r="K479" s="470">
        <v>0.25</v>
      </c>
      <c r="L479" s="471"/>
    </row>
    <row r="480" spans="2:12" ht="30.75" customHeight="1">
      <c r="B480" s="472" t="s">
        <v>271</v>
      </c>
      <c r="C480" s="473"/>
      <c r="D480" s="473"/>
      <c r="E480" s="473"/>
      <c r="F480" s="473"/>
      <c r="G480" s="473"/>
      <c r="H480" s="473"/>
      <c r="I480" s="473"/>
      <c r="J480" s="473"/>
      <c r="K480" s="474" t="s">
        <v>252</v>
      </c>
      <c r="L480" s="474"/>
    </row>
    <row r="481" spans="2:12" ht="14.5" customHeight="1">
      <c r="B481" s="472"/>
      <c r="C481" s="473"/>
      <c r="D481" s="473"/>
      <c r="E481" s="473"/>
      <c r="F481" s="473"/>
      <c r="G481" s="473"/>
      <c r="H481" s="473"/>
      <c r="I481" s="473"/>
      <c r="J481" s="473"/>
      <c r="K481" s="474" t="s">
        <v>251</v>
      </c>
      <c r="L481" s="474"/>
    </row>
    <row r="482" spans="2:12" ht="14.5" customHeight="1">
      <c r="B482" s="472"/>
      <c r="C482" s="473"/>
      <c r="D482" s="473"/>
      <c r="E482" s="473"/>
      <c r="F482" s="473"/>
      <c r="G482" s="473"/>
      <c r="H482" s="473"/>
      <c r="I482" s="473"/>
      <c r="J482" s="473"/>
      <c r="K482" s="474" t="s">
        <v>247</v>
      </c>
      <c r="L482" s="474"/>
    </row>
    <row r="483" spans="2:12" ht="16">
      <c r="B483" s="472" t="s">
        <v>248</v>
      </c>
      <c r="C483" s="473"/>
      <c r="D483" s="473"/>
      <c r="E483" s="473"/>
      <c r="F483" s="473"/>
      <c r="G483" s="473"/>
      <c r="H483" s="473"/>
      <c r="I483" s="473"/>
      <c r="J483" s="475"/>
      <c r="K483" s="120" t="s">
        <v>224</v>
      </c>
      <c r="L483" s="83">
        <f>'Aktuelle data'!G37*'Aktuelle data'!C37</f>
        <v>86.30058600000001</v>
      </c>
    </row>
    <row r="484" spans="2:12" ht="15.25" customHeight="1">
      <c r="B484" s="472" t="s">
        <v>265</v>
      </c>
      <c r="C484" s="473"/>
      <c r="D484" s="473"/>
      <c r="E484" s="473"/>
      <c r="F484" s="473"/>
      <c r="G484" s="473"/>
      <c r="H484" s="473"/>
      <c r="I484" s="473"/>
      <c r="J484" s="473"/>
      <c r="K484" s="116"/>
      <c r="L484" s="118">
        <f>'Aktuelle data'!G38*'Aktuelle data'!C37</f>
        <v>9.3012853800000013</v>
      </c>
    </row>
    <row r="485" spans="2:12" ht="29.25" customHeight="1">
      <c r="B485" s="472"/>
      <c r="C485" s="473"/>
      <c r="D485" s="473"/>
      <c r="E485" s="473"/>
      <c r="F485" s="473"/>
      <c r="G485" s="473"/>
      <c r="H485" s="473"/>
      <c r="I485" s="473"/>
      <c r="J485" s="473"/>
      <c r="K485" s="479" t="s">
        <v>258</v>
      </c>
      <c r="L485" s="480"/>
    </row>
    <row r="486" spans="2:12" ht="14.5" customHeight="1">
      <c r="B486" s="462" t="s">
        <v>257</v>
      </c>
      <c r="C486" s="463"/>
      <c r="D486" s="463"/>
      <c r="E486" s="463"/>
      <c r="F486" s="463"/>
      <c r="G486" s="463"/>
      <c r="H486" s="463"/>
      <c r="I486" s="463"/>
      <c r="J486" s="464"/>
      <c r="K486" s="121"/>
      <c r="L486" s="122">
        <f>'Aktuelle data'!G39*'Aktuelle data'!C37</f>
        <v>203.49358547</v>
      </c>
    </row>
    <row r="487" spans="2:12" ht="14.75" customHeight="1">
      <c r="B487" s="476"/>
      <c r="C487" s="477"/>
      <c r="D487" s="477"/>
      <c r="E487" s="477"/>
      <c r="F487" s="477"/>
      <c r="G487" s="477"/>
      <c r="H487" s="477"/>
      <c r="I487" s="477"/>
      <c r="J487" s="478"/>
      <c r="K487" s="460" t="s">
        <v>249</v>
      </c>
      <c r="L487" s="461"/>
    </row>
    <row r="488" spans="2:12">
      <c r="B488" s="462" t="s">
        <v>250</v>
      </c>
      <c r="C488" s="463"/>
      <c r="D488" s="463"/>
      <c r="E488" s="463"/>
      <c r="F488" s="463"/>
      <c r="G488" s="463"/>
      <c r="H488" s="463"/>
      <c r="I488" s="463"/>
      <c r="J488" s="464"/>
      <c r="K488" s="117"/>
      <c r="L488" s="123">
        <f>'Aktuelle data'!G40*'Aktuelle data'!C37</f>
        <v>462.85880958000001</v>
      </c>
    </row>
    <row r="489" spans="2:12" ht="17" thickBot="1">
      <c r="B489" s="465"/>
      <c r="C489" s="466"/>
      <c r="D489" s="466"/>
      <c r="E489" s="466"/>
      <c r="F489" s="466"/>
      <c r="G489" s="466"/>
      <c r="H489" s="466"/>
      <c r="I489" s="466"/>
      <c r="J489" s="467"/>
      <c r="K489" s="96"/>
      <c r="L489" s="124" t="s">
        <v>249</v>
      </c>
    </row>
    <row r="491" spans="2:12" ht="30.75" customHeight="1">
      <c r="B491" s="515" t="s">
        <v>278</v>
      </c>
      <c r="C491" s="515"/>
      <c r="D491" s="515"/>
      <c r="E491" s="515"/>
      <c r="F491" s="515"/>
      <c r="G491" s="515"/>
      <c r="H491" s="515"/>
      <c r="I491" s="515"/>
      <c r="J491" s="515"/>
      <c r="K491" s="515"/>
      <c r="L491" s="515"/>
    </row>
    <row r="493" spans="2:12" ht="21">
      <c r="B493" s="516" t="s">
        <v>259</v>
      </c>
      <c r="C493" s="516"/>
      <c r="D493" s="516"/>
      <c r="E493" s="516"/>
      <c r="F493" s="516"/>
      <c r="G493" s="516"/>
      <c r="H493" s="516"/>
      <c r="I493" s="516"/>
      <c r="J493" s="516"/>
      <c r="K493" s="516"/>
      <c r="L493" s="516"/>
    </row>
    <row r="494" spans="2:12" ht="16" thickBot="1"/>
    <row r="495" spans="2:12" ht="16">
      <c r="B495" s="261" t="s">
        <v>260</v>
      </c>
      <c r="C495" s="203">
        <f>'Aktuelle data'!C41</f>
        <v>3.81</v>
      </c>
      <c r="D495" s="196" t="s">
        <v>279</v>
      </c>
    </row>
    <row r="496" spans="2:12" ht="17" thickBot="1">
      <c r="B496" s="262" t="s">
        <v>261</v>
      </c>
      <c r="C496" s="204">
        <f>'Aktuelle data'!C40</f>
        <v>2.23</v>
      </c>
      <c r="D496" s="197" t="s">
        <v>279</v>
      </c>
    </row>
    <row r="498" spans="1:12" ht="21">
      <c r="A498" s="2"/>
      <c r="B498" s="264" t="s">
        <v>264</v>
      </c>
      <c r="C498" s="264"/>
    </row>
    <row r="499" spans="1:12" ht="16" thickBot="1"/>
    <row r="500" spans="1:12" s="2" customFormat="1" ht="33.25" customHeight="1">
      <c r="A500"/>
      <c r="B500" s="574" t="s">
        <v>17</v>
      </c>
      <c r="C500" s="562"/>
      <c r="D500" s="562" t="s">
        <v>267</v>
      </c>
      <c r="E500" s="562"/>
      <c r="F500" s="562"/>
      <c r="G500" s="565" t="s">
        <v>269</v>
      </c>
      <c r="H500" s="566"/>
      <c r="I500" s="567"/>
      <c r="J500" s="562" t="s">
        <v>268</v>
      </c>
      <c r="K500" s="562"/>
      <c r="L500" s="263" t="s">
        <v>21</v>
      </c>
    </row>
    <row r="501" spans="1:12">
      <c r="B501" s="575" t="s">
        <v>23</v>
      </c>
      <c r="C501" s="517"/>
      <c r="D501" s="517" t="s">
        <v>24</v>
      </c>
      <c r="E501" s="517"/>
      <c r="F501" s="517"/>
      <c r="G501" s="568">
        <f>'Aktuelle data'!AL5</f>
        <v>99</v>
      </c>
      <c r="H501" s="569"/>
      <c r="I501" s="570"/>
      <c r="J501" s="563">
        <f>'Aktuelle data'!AM5</f>
        <v>198</v>
      </c>
      <c r="K501" s="563"/>
      <c r="L501" s="126">
        <f>'Aktuelle data'!AN5</f>
        <v>297</v>
      </c>
    </row>
    <row r="502" spans="1:12">
      <c r="B502" s="127" t="s">
        <v>26</v>
      </c>
      <c r="C502" s="66"/>
      <c r="D502" s="517" t="s">
        <v>27</v>
      </c>
      <c r="E502" s="517"/>
      <c r="F502" s="517"/>
      <c r="G502" s="568">
        <f>'Aktuelle data'!AL6</f>
        <v>66</v>
      </c>
      <c r="H502" s="569"/>
      <c r="I502" s="570"/>
      <c r="J502" s="563">
        <f>'Aktuelle data'!AM6</f>
        <v>132</v>
      </c>
      <c r="K502" s="563"/>
      <c r="L502" s="126">
        <f>'Aktuelle data'!AN6</f>
        <v>198</v>
      </c>
    </row>
    <row r="503" spans="1:12">
      <c r="B503" s="575" t="s">
        <v>28</v>
      </c>
      <c r="C503" s="517"/>
      <c r="D503" s="517" t="s">
        <v>29</v>
      </c>
      <c r="E503" s="517"/>
      <c r="F503" s="517"/>
      <c r="G503" s="568">
        <f>'Aktuelle data'!AL7</f>
        <v>33</v>
      </c>
      <c r="H503" s="569"/>
      <c r="I503" s="570"/>
      <c r="J503" s="563">
        <f>'Aktuelle data'!AM7</f>
        <v>66</v>
      </c>
      <c r="K503" s="563"/>
      <c r="L503" s="126">
        <f>'Aktuelle data'!AN7</f>
        <v>99</v>
      </c>
    </row>
    <row r="504" spans="1:12" ht="16" thickBot="1">
      <c r="B504" s="128" t="s">
        <v>30</v>
      </c>
      <c r="C504" s="125"/>
      <c r="D504" s="561" t="s">
        <v>31</v>
      </c>
      <c r="E504" s="561"/>
      <c r="F504" s="561"/>
      <c r="G504" s="571">
        <f>'Aktuelle data'!AL8</f>
        <v>0</v>
      </c>
      <c r="H504" s="572"/>
      <c r="I504" s="573"/>
      <c r="J504" s="564">
        <f>'Aktuelle data'!AM8</f>
        <v>0</v>
      </c>
      <c r="K504" s="564"/>
      <c r="L504" s="129">
        <f>'Aktuelle data'!AN8</f>
        <v>0</v>
      </c>
    </row>
  </sheetData>
  <mergeCells count="506">
    <mergeCell ref="K213:L213"/>
    <mergeCell ref="K214:L214"/>
    <mergeCell ref="K224:L224"/>
    <mergeCell ref="K225:L225"/>
    <mergeCell ref="K226:L226"/>
    <mergeCell ref="E202:G202"/>
    <mergeCell ref="E217:G217"/>
    <mergeCell ref="E218:G218"/>
    <mergeCell ref="E219:G219"/>
    <mergeCell ref="E220:G220"/>
    <mergeCell ref="E221:G221"/>
    <mergeCell ref="E222:G222"/>
    <mergeCell ref="E223:G223"/>
    <mergeCell ref="E224:G224"/>
    <mergeCell ref="K206:L206"/>
    <mergeCell ref="B500:C500"/>
    <mergeCell ref="B501:C501"/>
    <mergeCell ref="B503:C503"/>
    <mergeCell ref="D500:F500"/>
    <mergeCell ref="K193:L193"/>
    <mergeCell ref="K194:L194"/>
    <mergeCell ref="K195:L195"/>
    <mergeCell ref="K196:L196"/>
    <mergeCell ref="K197:L197"/>
    <mergeCell ref="K198:L198"/>
    <mergeCell ref="K199:L199"/>
    <mergeCell ref="K216:L216"/>
    <mergeCell ref="E215:G215"/>
    <mergeCell ref="E216:G216"/>
    <mergeCell ref="E205:G205"/>
    <mergeCell ref="E225:G225"/>
    <mergeCell ref="K218:M218"/>
    <mergeCell ref="K219:L219"/>
    <mergeCell ref="K220:L220"/>
    <mergeCell ref="K221:L221"/>
    <mergeCell ref="K222:L222"/>
    <mergeCell ref="K223:L223"/>
    <mergeCell ref="K200:L200"/>
    <mergeCell ref="K201:L201"/>
    <mergeCell ref="D504:F504"/>
    <mergeCell ref="J500:K500"/>
    <mergeCell ref="J501:K501"/>
    <mergeCell ref="J502:K502"/>
    <mergeCell ref="J503:K503"/>
    <mergeCell ref="J504:K504"/>
    <mergeCell ref="G500:I500"/>
    <mergeCell ref="G501:I501"/>
    <mergeCell ref="G502:I502"/>
    <mergeCell ref="G503:I503"/>
    <mergeCell ref="G504:I504"/>
    <mergeCell ref="D502:F502"/>
    <mergeCell ref="D503:F503"/>
    <mergeCell ref="L326:M326"/>
    <mergeCell ref="B329:C329"/>
    <mergeCell ref="B326:C326"/>
    <mergeCell ref="B327:C327"/>
    <mergeCell ref="B328:C328"/>
    <mergeCell ref="D326:F326"/>
    <mergeCell ref="B163:J163"/>
    <mergeCell ref="B335:F335"/>
    <mergeCell ref="B336:L336"/>
    <mergeCell ref="B165:J165"/>
    <mergeCell ref="B164:J164"/>
    <mergeCell ref="E196:G196"/>
    <mergeCell ref="E197:G197"/>
    <mergeCell ref="E198:G198"/>
    <mergeCell ref="E193:H193"/>
    <mergeCell ref="E194:G194"/>
    <mergeCell ref="E195:G195"/>
    <mergeCell ref="K215:L215"/>
    <mergeCell ref="E214:H214"/>
    <mergeCell ref="K202:L202"/>
    <mergeCell ref="K203:L203"/>
    <mergeCell ref="K204:L204"/>
    <mergeCell ref="K205:L205"/>
    <mergeCell ref="K207:L207"/>
    <mergeCell ref="G262:H262"/>
    <mergeCell ref="B35:J35"/>
    <mergeCell ref="B36:J36"/>
    <mergeCell ref="B37:J37"/>
    <mergeCell ref="B99:J99"/>
    <mergeCell ref="B100:J100"/>
    <mergeCell ref="B191:L191"/>
    <mergeCell ref="B193:C193"/>
    <mergeCell ref="B325:M325"/>
    <mergeCell ref="J67:K67"/>
    <mergeCell ref="J68:K68"/>
    <mergeCell ref="J69:K69"/>
    <mergeCell ref="K208:L208"/>
    <mergeCell ref="K209:L209"/>
    <mergeCell ref="K210:L210"/>
    <mergeCell ref="K211:L211"/>
    <mergeCell ref="E207:G207"/>
    <mergeCell ref="E208:G208"/>
    <mergeCell ref="E209:G209"/>
    <mergeCell ref="E210:G210"/>
    <mergeCell ref="E211:G211"/>
    <mergeCell ref="E199:G199"/>
    <mergeCell ref="K212:L212"/>
    <mergeCell ref="J70:K70"/>
    <mergeCell ref="B491:L491"/>
    <mergeCell ref="B493:L493"/>
    <mergeCell ref="B256:K256"/>
    <mergeCell ref="B257:K257"/>
    <mergeCell ref="D501:F501"/>
    <mergeCell ref="E226:G226"/>
    <mergeCell ref="E227:G227"/>
    <mergeCell ref="E228:G228"/>
    <mergeCell ref="E229:G229"/>
    <mergeCell ref="E230:G230"/>
    <mergeCell ref="K227:L227"/>
    <mergeCell ref="K228:L228"/>
    <mergeCell ref="K229:L229"/>
    <mergeCell ref="C444:D444"/>
    <mergeCell ref="C445:D445"/>
    <mergeCell ref="B440:M440"/>
    <mergeCell ref="B439:K439"/>
    <mergeCell ref="B442:L442"/>
    <mergeCell ref="B435:C435"/>
    <mergeCell ref="B437:L437"/>
    <mergeCell ref="B428:E428"/>
    <mergeCell ref="B429:J429"/>
    <mergeCell ref="B432:C432"/>
    <mergeCell ref="B427:I427"/>
    <mergeCell ref="C369:I369"/>
    <mergeCell ref="E200:G200"/>
    <mergeCell ref="E201:G201"/>
    <mergeCell ref="E203:G203"/>
    <mergeCell ref="E204:G204"/>
    <mergeCell ref="E206:G206"/>
    <mergeCell ref="E212:G212"/>
    <mergeCell ref="B365:K365"/>
    <mergeCell ref="B367:L367"/>
    <mergeCell ref="C343:D343"/>
    <mergeCell ref="C341:D341"/>
    <mergeCell ref="C342:D342"/>
    <mergeCell ref="B337:M337"/>
    <mergeCell ref="B333:M333"/>
    <mergeCell ref="H326:J326"/>
    <mergeCell ref="H327:J327"/>
    <mergeCell ref="B330:C330"/>
    <mergeCell ref="B317:M317"/>
    <mergeCell ref="B259:M259"/>
    <mergeCell ref="B322:M322"/>
    <mergeCell ref="B323:M323"/>
    <mergeCell ref="I262:J262"/>
    <mergeCell ref="C261:H261"/>
    <mergeCell ref="B339:M339"/>
    <mergeCell ref="E370:F370"/>
    <mergeCell ref="G370:H370"/>
    <mergeCell ref="I370:J370"/>
    <mergeCell ref="K487:L487"/>
    <mergeCell ref="B488:J489"/>
    <mergeCell ref="B479:J479"/>
    <mergeCell ref="K479:L479"/>
    <mergeCell ref="B480:J482"/>
    <mergeCell ref="K480:L480"/>
    <mergeCell ref="K481:L481"/>
    <mergeCell ref="K482:L482"/>
    <mergeCell ref="B483:J483"/>
    <mergeCell ref="B484:J485"/>
    <mergeCell ref="B486:J487"/>
    <mergeCell ref="K485:L485"/>
    <mergeCell ref="B431:L431"/>
    <mergeCell ref="B477:H477"/>
    <mergeCell ref="B425:L425"/>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J132:K132"/>
    <mergeCell ref="B98:J98"/>
    <mergeCell ref="H88:I88"/>
    <mergeCell ref="H89:I89"/>
    <mergeCell ref="H90:I90"/>
    <mergeCell ref="H91:I91"/>
    <mergeCell ref="H92:I92"/>
    <mergeCell ref="H93:I93"/>
    <mergeCell ref="H94:I94"/>
    <mergeCell ref="H95:I95"/>
    <mergeCell ref="D90:E90"/>
    <mergeCell ref="D91:E91"/>
    <mergeCell ref="D92:E92"/>
    <mergeCell ref="D93:E93"/>
    <mergeCell ref="D94:E94"/>
    <mergeCell ref="D95:E95"/>
    <mergeCell ref="F94:G94"/>
    <mergeCell ref="F95:G95"/>
    <mergeCell ref="F90:G90"/>
    <mergeCell ref="F91:G91"/>
    <mergeCell ref="F92:G92"/>
    <mergeCell ref="F93:G93"/>
    <mergeCell ref="J133:K133"/>
    <mergeCell ref="J134:K134"/>
    <mergeCell ref="J135:K135"/>
    <mergeCell ref="J136:K136"/>
    <mergeCell ref="J137:K137"/>
    <mergeCell ref="J138:K138"/>
    <mergeCell ref="J139:K139"/>
    <mergeCell ref="J140:K140"/>
    <mergeCell ref="J154:K154"/>
    <mergeCell ref="J156:K156"/>
    <mergeCell ref="J157:K157"/>
    <mergeCell ref="J158:K158"/>
    <mergeCell ref="J141:K141"/>
    <mergeCell ref="J142:K142"/>
    <mergeCell ref="J143:K143"/>
    <mergeCell ref="J144:K144"/>
    <mergeCell ref="J145:K145"/>
    <mergeCell ref="J146:K146"/>
    <mergeCell ref="J147:K147"/>
    <mergeCell ref="J148:K148"/>
    <mergeCell ref="J149:K149"/>
    <mergeCell ref="J159:K159"/>
    <mergeCell ref="J160:K16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150:K150"/>
    <mergeCell ref="J151:K151"/>
    <mergeCell ref="J152:K152"/>
    <mergeCell ref="J153:K153"/>
    <mergeCell ref="J155:K155"/>
    <mergeCell ref="D22:E22"/>
    <mergeCell ref="D23:E23"/>
    <mergeCell ref="J30:K30"/>
    <mergeCell ref="J31:K31"/>
    <mergeCell ref="J32:K32"/>
    <mergeCell ref="J21:K21"/>
    <mergeCell ref="J22:K22"/>
    <mergeCell ref="J23:K23"/>
    <mergeCell ref="J24:K24"/>
    <mergeCell ref="J25:K25"/>
    <mergeCell ref="J26:K26"/>
    <mergeCell ref="J27:K27"/>
    <mergeCell ref="J28:K28"/>
    <mergeCell ref="J29:K29"/>
    <mergeCell ref="D24:E24"/>
    <mergeCell ref="D25:E25"/>
    <mergeCell ref="D26:E26"/>
    <mergeCell ref="D27:E27"/>
    <mergeCell ref="D28:E28"/>
    <mergeCell ref="D29:E29"/>
    <mergeCell ref="D30:E30"/>
    <mergeCell ref="D31:E31"/>
    <mergeCell ref="D32:E32"/>
    <mergeCell ref="F22:G22"/>
    <mergeCell ref="D13:E13"/>
    <mergeCell ref="D14:E14"/>
    <mergeCell ref="D15:E15"/>
    <mergeCell ref="D16:E16"/>
    <mergeCell ref="D17:E17"/>
    <mergeCell ref="D18:E18"/>
    <mergeCell ref="D19:E19"/>
    <mergeCell ref="D20:E20"/>
    <mergeCell ref="D21:E21"/>
    <mergeCell ref="D5:E5"/>
    <mergeCell ref="D6:E6"/>
    <mergeCell ref="D7:E7"/>
    <mergeCell ref="D8:E8"/>
    <mergeCell ref="D9:E9"/>
    <mergeCell ref="D10:E10"/>
    <mergeCell ref="D11:E11"/>
    <mergeCell ref="D12:E12"/>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3:G23"/>
    <mergeCell ref="F24:G24"/>
    <mergeCell ref="F25:G25"/>
    <mergeCell ref="F26:G26"/>
    <mergeCell ref="F27:G27"/>
    <mergeCell ref="F28:G28"/>
    <mergeCell ref="F29:G29"/>
    <mergeCell ref="F30:G30"/>
    <mergeCell ref="F31:G31"/>
    <mergeCell ref="F32:G3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68:I68"/>
    <mergeCell ref="H69:I69"/>
    <mergeCell ref="H83:I83"/>
    <mergeCell ref="H84:I84"/>
    <mergeCell ref="F77:G77"/>
    <mergeCell ref="F78:G78"/>
    <mergeCell ref="H85:I85"/>
    <mergeCell ref="H86:I86"/>
    <mergeCell ref="H87:I87"/>
    <mergeCell ref="H70:I70"/>
    <mergeCell ref="H71:I71"/>
    <mergeCell ref="H72:I72"/>
    <mergeCell ref="H73:I73"/>
    <mergeCell ref="H74:I74"/>
    <mergeCell ref="H75:I75"/>
    <mergeCell ref="H76:I76"/>
    <mergeCell ref="H77:I77"/>
    <mergeCell ref="H78:I78"/>
    <mergeCell ref="H80:I80"/>
    <mergeCell ref="H81:I81"/>
    <mergeCell ref="H82:I82"/>
    <mergeCell ref="F71:G71"/>
    <mergeCell ref="F72:G72"/>
    <mergeCell ref="F73:G73"/>
    <mergeCell ref="F74:G74"/>
    <mergeCell ref="F75:G75"/>
    <mergeCell ref="H79:I79"/>
    <mergeCell ref="D83:E83"/>
    <mergeCell ref="D84:E84"/>
    <mergeCell ref="D89:E89"/>
    <mergeCell ref="F83:G83"/>
    <mergeCell ref="F84:G84"/>
    <mergeCell ref="D85:E85"/>
    <mergeCell ref="D86:E86"/>
    <mergeCell ref="D87:E87"/>
    <mergeCell ref="D88:E88"/>
    <mergeCell ref="F85:G85"/>
    <mergeCell ref="F86:G86"/>
    <mergeCell ref="F87:G87"/>
    <mergeCell ref="F88:G88"/>
    <mergeCell ref="D68:E68"/>
    <mergeCell ref="D69:E69"/>
    <mergeCell ref="D70:E70"/>
    <mergeCell ref="D71:E71"/>
    <mergeCell ref="D72:E72"/>
    <mergeCell ref="D73:E73"/>
    <mergeCell ref="D74:E74"/>
    <mergeCell ref="D75:E75"/>
    <mergeCell ref="F89:G89"/>
    <mergeCell ref="D76:E76"/>
    <mergeCell ref="D77:E77"/>
    <mergeCell ref="F68:G68"/>
    <mergeCell ref="F69:G69"/>
    <mergeCell ref="F70:G70"/>
    <mergeCell ref="D78:E78"/>
    <mergeCell ref="D79:E79"/>
    <mergeCell ref="D80:E80"/>
    <mergeCell ref="F79:G79"/>
    <mergeCell ref="F80:G80"/>
    <mergeCell ref="D81:E81"/>
    <mergeCell ref="D82:E82"/>
    <mergeCell ref="F81:G81"/>
    <mergeCell ref="F82:G82"/>
    <mergeCell ref="F76:G76"/>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D149:E149"/>
    <mergeCell ref="F149:G149"/>
    <mergeCell ref="H149:I149"/>
    <mergeCell ref="D150:E150"/>
    <mergeCell ref="F150:G150"/>
    <mergeCell ref="H150:I150"/>
    <mergeCell ref="H156:I156"/>
    <mergeCell ref="D151:E151"/>
    <mergeCell ref="F151:G151"/>
    <mergeCell ref="H151:I151"/>
    <mergeCell ref="D152:E152"/>
    <mergeCell ref="F152:G152"/>
    <mergeCell ref="H152:I152"/>
    <mergeCell ref="D153:E153"/>
    <mergeCell ref="F153:G153"/>
    <mergeCell ref="H153:I153"/>
    <mergeCell ref="D160:E160"/>
    <mergeCell ref="F160:G160"/>
    <mergeCell ref="H160:I160"/>
    <mergeCell ref="C2:L2"/>
    <mergeCell ref="C65:L65"/>
    <mergeCell ref="C130:L130"/>
    <mergeCell ref="C129:L129"/>
    <mergeCell ref="D157:E157"/>
    <mergeCell ref="F157:G157"/>
    <mergeCell ref="H157:I157"/>
    <mergeCell ref="D158:E158"/>
    <mergeCell ref="F158:G158"/>
    <mergeCell ref="H158:I158"/>
    <mergeCell ref="D159:E159"/>
    <mergeCell ref="F159:G159"/>
    <mergeCell ref="H159:I159"/>
    <mergeCell ref="D154:E154"/>
    <mergeCell ref="F154:G154"/>
    <mergeCell ref="H154:I154"/>
    <mergeCell ref="D155:E155"/>
    <mergeCell ref="F155:G155"/>
    <mergeCell ref="H155:I155"/>
    <mergeCell ref="D156:E156"/>
    <mergeCell ref="F156:G156"/>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&amp;L&amp;"-,Fed"&amp;16&amp;K003FC2Løntabel&amp;C&amp;G&amp;R&amp;"Calibri (Tekst),Fed"&amp;16&amp;K003FC2 1. april 2025
</oddHeader>
    <oddFooter>&amp;L&amp;K003FC2Meld dig ind i MM på
www.musikerogmusikunderviser.dk &amp;R&amp;K003FC2MM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18" zoomScale="141" zoomScaleNormal="141" workbookViewId="0">
      <selection activeCell="C40" sqref="C40"/>
    </sheetView>
  </sheetViews>
  <sheetFormatPr baseColWidth="10" defaultColWidth="8.83203125" defaultRowHeight="15"/>
  <cols>
    <col min="1" max="1" width="41.33203125" bestFit="1" customWidth="1"/>
    <col min="2" max="2" width="14.33203125" bestFit="1" customWidth="1"/>
    <col min="3" max="6" width="10" bestFit="1" customWidth="1"/>
    <col min="7" max="7" width="9.83203125" customWidth="1"/>
    <col min="8" max="8" width="8.83203125" bestFit="1" customWidth="1"/>
    <col min="9" max="13" width="10" bestFit="1" customWidth="1"/>
    <col min="14" max="14" width="9.83203125" customWidth="1"/>
    <col min="15" max="16" width="10" bestFit="1" customWidth="1"/>
    <col min="17" max="17" width="13" customWidth="1"/>
    <col min="18" max="22" width="10" bestFit="1" customWidth="1"/>
    <col min="23" max="23" width="9.5" bestFit="1" customWidth="1"/>
    <col min="24" max="24" width="8.83203125" bestFit="1" customWidth="1"/>
    <col min="25" max="26" width="9.5" bestFit="1" customWidth="1"/>
    <col min="27" max="29" width="8.83203125" bestFit="1" customWidth="1"/>
    <col min="30" max="30" width="9.5" bestFit="1" customWidth="1"/>
    <col min="31" max="31" width="8.83203125" bestFit="1" customWidth="1"/>
    <col min="32" max="33" width="9.5" bestFit="1" customWidth="1"/>
    <col min="36" max="36" width="21.5" bestFit="1" customWidth="1"/>
    <col min="37" max="37" width="15.83203125" bestFit="1" customWidth="1"/>
    <col min="38" max="38" width="17.83203125" bestFit="1" customWidth="1"/>
    <col min="39" max="39" width="17.5" bestFit="1" customWidth="1"/>
    <col min="40" max="40" width="15.1640625" bestFit="1" customWidth="1"/>
    <col min="41" max="42" width="8.83203125" bestFit="1" customWidth="1"/>
    <col min="43" max="44" width="9.5" bestFit="1" customWidth="1"/>
  </cols>
  <sheetData>
    <row r="1" spans="1:44" ht="56.5" customHeight="1">
      <c r="A1" s="164" t="s">
        <v>146</v>
      </c>
      <c r="B1" s="164"/>
      <c r="C1" s="164"/>
      <c r="D1" s="164"/>
      <c r="E1" s="164"/>
      <c r="F1" s="164"/>
      <c r="G1" s="164"/>
      <c r="H1" s="164"/>
      <c r="I1" s="164"/>
      <c r="J1" s="164"/>
      <c r="K1" s="164"/>
      <c r="L1" s="164"/>
      <c r="M1" s="165"/>
      <c r="N1" s="165"/>
      <c r="O1" s="165"/>
      <c r="P1" s="165"/>
      <c r="Q1" s="166" t="s">
        <v>0</v>
      </c>
      <c r="R1" s="1"/>
      <c r="S1" s="1"/>
    </row>
    <row r="2" spans="1:44" ht="19">
      <c r="A2" s="583" t="s">
        <v>304</v>
      </c>
      <c r="B2" s="583"/>
      <c r="C2" s="583"/>
      <c r="D2" s="164"/>
      <c r="E2" s="164"/>
      <c r="F2" s="164"/>
      <c r="G2" s="164"/>
      <c r="H2" s="164"/>
      <c r="I2" s="164"/>
      <c r="J2" s="164"/>
      <c r="K2" s="164"/>
      <c r="L2" s="164"/>
      <c r="M2" s="165"/>
      <c r="N2" s="165"/>
      <c r="O2" s="165"/>
      <c r="P2" s="165"/>
      <c r="Q2" s="166"/>
      <c r="R2" s="1"/>
      <c r="S2" s="1"/>
    </row>
    <row r="3" spans="1:44" ht="17" thickBot="1">
      <c r="A3" s="165" t="s">
        <v>1</v>
      </c>
      <c r="B3" s="165"/>
      <c r="C3" s="1"/>
      <c r="D3" s="165"/>
      <c r="E3" s="165"/>
      <c r="F3" s="165"/>
      <c r="G3" s="165"/>
      <c r="H3" s="165"/>
      <c r="I3" s="165"/>
      <c r="J3" s="165"/>
      <c r="K3" s="165"/>
      <c r="L3" s="165"/>
      <c r="M3" s="165"/>
      <c r="N3" s="165"/>
      <c r="O3" s="165"/>
      <c r="P3" s="165"/>
      <c r="Q3" s="165"/>
      <c r="R3" s="1"/>
      <c r="S3" s="1"/>
    </row>
    <row r="4" spans="1:44" ht="16">
      <c r="A4" s="167" t="s">
        <v>2</v>
      </c>
      <c r="B4" s="587" t="s">
        <v>3</v>
      </c>
      <c r="C4" s="587"/>
      <c r="D4" s="587"/>
      <c r="E4" s="587"/>
      <c r="F4" s="587"/>
      <c r="G4" s="168"/>
      <c r="H4" s="167" t="s">
        <v>2</v>
      </c>
      <c r="I4" s="584" t="s">
        <v>4</v>
      </c>
      <c r="J4" s="585"/>
      <c r="K4" s="585"/>
      <c r="L4" s="585"/>
      <c r="M4" s="586"/>
      <c r="N4" s="169"/>
      <c r="O4" s="167" t="s">
        <v>2</v>
      </c>
      <c r="P4" s="584" t="s">
        <v>5</v>
      </c>
      <c r="Q4" s="585"/>
      <c r="R4" s="585"/>
      <c r="S4" s="585"/>
      <c r="T4" s="590"/>
      <c r="V4" t="s">
        <v>216</v>
      </c>
      <c r="AC4" s="588" t="s">
        <v>235</v>
      </c>
      <c r="AD4" s="588"/>
      <c r="AE4" s="588"/>
      <c r="AJ4" s="226" t="s">
        <v>17</v>
      </c>
      <c r="AK4" s="227" t="s">
        <v>18</v>
      </c>
      <c r="AL4" s="227" t="s">
        <v>19</v>
      </c>
      <c r="AM4" s="227" t="s">
        <v>20</v>
      </c>
      <c r="AN4" s="228" t="s">
        <v>266</v>
      </c>
    </row>
    <row r="5" spans="1:44" ht="16">
      <c r="A5" s="170" t="s">
        <v>6</v>
      </c>
      <c r="B5" s="587" t="s">
        <v>7</v>
      </c>
      <c r="C5" s="587"/>
      <c r="D5" s="587"/>
      <c r="E5" s="587"/>
      <c r="F5" s="587"/>
      <c r="G5" s="168"/>
      <c r="H5" s="170" t="s">
        <v>6</v>
      </c>
      <c r="I5" s="584" t="s">
        <v>7</v>
      </c>
      <c r="J5" s="585"/>
      <c r="K5" s="585"/>
      <c r="L5" s="585"/>
      <c r="M5" s="586"/>
      <c r="N5" s="169"/>
      <c r="O5" s="170" t="s">
        <v>6</v>
      </c>
      <c r="P5" s="584" t="s">
        <v>7</v>
      </c>
      <c r="Q5" s="585"/>
      <c r="R5" s="585"/>
      <c r="S5" s="585"/>
      <c r="T5" s="590"/>
      <c r="AJ5" s="229" t="s">
        <v>23</v>
      </c>
      <c r="AK5" s="222" t="s">
        <v>24</v>
      </c>
      <c r="AL5" s="223">
        <v>99</v>
      </c>
      <c r="AM5" s="223">
        <v>198</v>
      </c>
      <c r="AN5" s="230">
        <f>AL5+AM5</f>
        <v>297</v>
      </c>
    </row>
    <row r="6" spans="1:44" ht="64">
      <c r="A6" s="171"/>
      <c r="B6" s="172">
        <v>0</v>
      </c>
      <c r="C6" s="173">
        <v>1</v>
      </c>
      <c r="D6" s="173">
        <v>2</v>
      </c>
      <c r="E6" s="173">
        <v>3</v>
      </c>
      <c r="F6" s="173">
        <v>4</v>
      </c>
      <c r="G6" s="174"/>
      <c r="H6" s="175"/>
      <c r="I6" s="173">
        <v>0</v>
      </c>
      <c r="J6" s="173">
        <v>1</v>
      </c>
      <c r="K6" s="173">
        <v>2</v>
      </c>
      <c r="L6" s="173">
        <v>3</v>
      </c>
      <c r="M6" s="173">
        <v>4</v>
      </c>
      <c r="N6" s="174"/>
      <c r="O6" s="175"/>
      <c r="P6" s="172">
        <v>0</v>
      </c>
      <c r="Q6" s="173">
        <v>1</v>
      </c>
      <c r="R6" s="173">
        <v>2</v>
      </c>
      <c r="S6" s="173">
        <v>3</v>
      </c>
      <c r="T6" s="173">
        <v>4</v>
      </c>
      <c r="V6" s="73" t="s">
        <v>215</v>
      </c>
      <c r="W6" s="73" t="s">
        <v>211</v>
      </c>
      <c r="X6" s="73" t="s">
        <v>212</v>
      </c>
      <c r="Y6" s="73" t="s">
        <v>213</v>
      </c>
      <c r="Z6" s="73" t="s">
        <v>214</v>
      </c>
      <c r="AC6" s="73" t="s">
        <v>231</v>
      </c>
      <c r="AD6" s="73" t="s">
        <v>211</v>
      </c>
      <c r="AE6" s="73" t="s">
        <v>212</v>
      </c>
      <c r="AF6" s="73" t="s">
        <v>213</v>
      </c>
      <c r="AG6" s="192" t="s">
        <v>214</v>
      </c>
      <c r="AJ6" s="229" t="s">
        <v>284</v>
      </c>
      <c r="AK6" s="222" t="s">
        <v>27</v>
      </c>
      <c r="AL6" s="223">
        <v>66</v>
      </c>
      <c r="AM6" s="223">
        <v>132</v>
      </c>
      <c r="AN6" s="230">
        <f t="shared" ref="AN6:AN8" si="0">AL6+AM6</f>
        <v>198</v>
      </c>
    </row>
    <row r="7" spans="1:44" ht="16">
      <c r="A7" s="176">
        <v>28</v>
      </c>
      <c r="B7" s="206">
        <v>363420</v>
      </c>
      <c r="C7" s="207">
        <v>367884</v>
      </c>
      <c r="D7" s="207">
        <v>370973</v>
      </c>
      <c r="E7" s="207">
        <v>375437</v>
      </c>
      <c r="F7" s="208">
        <v>378524</v>
      </c>
      <c r="G7" s="178"/>
      <c r="H7" s="179">
        <v>28</v>
      </c>
      <c r="I7" s="212">
        <v>30285</v>
      </c>
      <c r="J7" s="213">
        <v>30657</v>
      </c>
      <c r="K7" s="213">
        <v>30914.416666666668</v>
      </c>
      <c r="L7" s="213">
        <v>31286.416666666668</v>
      </c>
      <c r="M7" s="213">
        <v>31543.666666666668</v>
      </c>
      <c r="N7" s="181"/>
      <c r="O7" s="179">
        <v>28</v>
      </c>
      <c r="P7" s="216">
        <v>363420</v>
      </c>
      <c r="Q7" s="217">
        <v>367884</v>
      </c>
      <c r="R7" s="217">
        <v>370973</v>
      </c>
      <c r="S7" s="217">
        <v>375437</v>
      </c>
      <c r="T7" s="218">
        <v>378524</v>
      </c>
      <c r="U7" s="182">
        <f>C37</f>
        <v>1.5981590000000001</v>
      </c>
      <c r="V7" s="136">
        <v>1000</v>
      </c>
      <c r="W7" s="193">
        <f>V7*U7</f>
        <v>1598.1590000000001</v>
      </c>
      <c r="X7" s="193">
        <f>W7/12</f>
        <v>133.17991666666668</v>
      </c>
      <c r="Y7" s="193">
        <f>W7*AA7/100</f>
        <v>267.69163250000003</v>
      </c>
      <c r="Z7" s="193">
        <f>W7+Y7</f>
        <v>1865.8506325000001</v>
      </c>
      <c r="AA7" s="1">
        <f>C38</f>
        <v>16.75</v>
      </c>
      <c r="AB7" s="180">
        <f>C39</f>
        <v>19.52</v>
      </c>
      <c r="AC7" s="136">
        <v>1000</v>
      </c>
      <c r="AD7" s="193">
        <f>AC7*U7</f>
        <v>1598.1590000000001</v>
      </c>
      <c r="AE7" s="193">
        <f>AD7/12</f>
        <v>133.17991666666668</v>
      </c>
      <c r="AF7" s="193">
        <f>AD7*AB7/100</f>
        <v>311.96063680000003</v>
      </c>
      <c r="AG7" s="193">
        <f>AD7+AF7</f>
        <v>1910.1196368000001</v>
      </c>
      <c r="AH7" s="177"/>
      <c r="AI7" s="177"/>
      <c r="AJ7" s="231" t="s">
        <v>283</v>
      </c>
      <c r="AK7" s="224" t="s">
        <v>285</v>
      </c>
      <c r="AL7" s="225">
        <v>33</v>
      </c>
      <c r="AM7" s="225">
        <v>66</v>
      </c>
      <c r="AN7" s="230">
        <f t="shared" si="0"/>
        <v>99</v>
      </c>
      <c r="AO7" s="177"/>
      <c r="AP7" s="177"/>
      <c r="AQ7" s="177"/>
      <c r="AR7" s="177"/>
    </row>
    <row r="8" spans="1:44" ht="18" thickBot="1">
      <c r="A8" s="176">
        <v>29</v>
      </c>
      <c r="B8" s="206">
        <v>369480</v>
      </c>
      <c r="C8" s="207">
        <v>373733</v>
      </c>
      <c r="D8" s="207">
        <v>376675</v>
      </c>
      <c r="E8" s="207">
        <v>380926</v>
      </c>
      <c r="F8" s="208">
        <v>383870</v>
      </c>
      <c r="G8" s="178"/>
      <c r="H8" s="179">
        <v>29</v>
      </c>
      <c r="I8" s="212">
        <v>30790</v>
      </c>
      <c r="J8" s="213">
        <v>31144.416666666668</v>
      </c>
      <c r="K8" s="213">
        <v>31389.583333333332</v>
      </c>
      <c r="L8" s="213">
        <v>31743.833333333332</v>
      </c>
      <c r="M8" s="213">
        <v>31989.166666666668</v>
      </c>
      <c r="N8" s="181"/>
      <c r="O8" s="179">
        <v>29</v>
      </c>
      <c r="P8" s="216">
        <v>369480</v>
      </c>
      <c r="Q8" s="217">
        <v>373733</v>
      </c>
      <c r="R8" s="217">
        <v>376675</v>
      </c>
      <c r="S8" s="217">
        <v>380926</v>
      </c>
      <c r="T8" s="218">
        <v>383870</v>
      </c>
      <c r="U8" s="183">
        <f>C37</f>
        <v>1.5981590000000001</v>
      </c>
      <c r="V8" s="142">
        <v>1500</v>
      </c>
      <c r="W8" s="193">
        <f t="shared" ref="W8:W27" si="1">V8*U8</f>
        <v>2397.2385000000004</v>
      </c>
      <c r="X8" s="193">
        <f t="shared" ref="X8:X27" si="2">W8/12</f>
        <v>199.76987500000004</v>
      </c>
      <c r="Y8" s="193">
        <f t="shared" ref="Y8:Y27" si="3">W8*AA8/100</f>
        <v>401.53744875000007</v>
      </c>
      <c r="Z8" s="193">
        <f t="shared" ref="Z8:Z27" si="4">W8+Y8</f>
        <v>2798.7759487500007</v>
      </c>
      <c r="AA8" s="1">
        <f>C38</f>
        <v>16.75</v>
      </c>
      <c r="AB8" s="180">
        <f>C39</f>
        <v>19.52</v>
      </c>
      <c r="AC8" s="142">
        <v>1500</v>
      </c>
      <c r="AD8" s="193">
        <f t="shared" ref="AD8:AD27" si="5">AC8*U8</f>
        <v>2397.2385000000004</v>
      </c>
      <c r="AE8" s="193">
        <f t="shared" ref="AE8:AE27" si="6">AD8/12</f>
        <v>199.76987500000004</v>
      </c>
      <c r="AF8" s="193">
        <f t="shared" ref="AF8:AF27" si="7">AD8*AB8/100</f>
        <v>467.94095520000008</v>
      </c>
      <c r="AG8" s="193">
        <f t="shared" ref="AG8:AG26" si="8">AD8+AF8</f>
        <v>2865.1794552000006</v>
      </c>
      <c r="AH8" s="177"/>
      <c r="AI8" s="177"/>
      <c r="AJ8" s="232" t="s">
        <v>282</v>
      </c>
      <c r="AK8" s="233" t="s">
        <v>31</v>
      </c>
      <c r="AL8" s="234">
        <v>0</v>
      </c>
      <c r="AM8" s="234">
        <v>0</v>
      </c>
      <c r="AN8" s="235">
        <f t="shared" si="0"/>
        <v>0</v>
      </c>
      <c r="AO8" s="177"/>
      <c r="AP8" s="177"/>
      <c r="AQ8" s="177"/>
      <c r="AR8" s="177"/>
    </row>
    <row r="9" spans="1:44" ht="16">
      <c r="A9" s="184">
        <v>30</v>
      </c>
      <c r="B9" s="209">
        <v>375671</v>
      </c>
      <c r="C9" s="210">
        <v>379697</v>
      </c>
      <c r="D9" s="210">
        <v>382486</v>
      </c>
      <c r="E9" s="210">
        <v>386510</v>
      </c>
      <c r="F9" s="211">
        <v>389297</v>
      </c>
      <c r="G9" s="178"/>
      <c r="H9" s="179">
        <v>30</v>
      </c>
      <c r="I9" s="214">
        <v>31305.916666666668</v>
      </c>
      <c r="J9" s="215">
        <v>31641.416666666668</v>
      </c>
      <c r="K9" s="215">
        <v>31873.833333333332</v>
      </c>
      <c r="L9" s="215">
        <v>32209.166666666668</v>
      </c>
      <c r="M9" s="215">
        <v>32441.416666666668</v>
      </c>
      <c r="N9" s="181"/>
      <c r="O9" s="179">
        <v>30</v>
      </c>
      <c r="P9" s="219">
        <v>375671</v>
      </c>
      <c r="Q9" s="220">
        <v>379697</v>
      </c>
      <c r="R9" s="220">
        <v>382486</v>
      </c>
      <c r="S9" s="220">
        <v>386510</v>
      </c>
      <c r="T9" s="221">
        <v>389297</v>
      </c>
      <c r="U9" s="183">
        <f>C37</f>
        <v>1.5981590000000001</v>
      </c>
      <c r="V9" s="147">
        <v>2500</v>
      </c>
      <c r="W9" s="193">
        <f t="shared" si="1"/>
        <v>3995.3975000000005</v>
      </c>
      <c r="X9" s="193">
        <f t="shared" si="2"/>
        <v>332.94979166666673</v>
      </c>
      <c r="Y9" s="193">
        <f t="shared" si="3"/>
        <v>669.22908125000004</v>
      </c>
      <c r="Z9" s="193">
        <f t="shared" si="4"/>
        <v>4664.6265812500005</v>
      </c>
      <c r="AA9" s="1">
        <f>C38</f>
        <v>16.75</v>
      </c>
      <c r="AB9" s="180">
        <f>C39</f>
        <v>19.52</v>
      </c>
      <c r="AC9" s="147">
        <v>2500</v>
      </c>
      <c r="AD9" s="193">
        <f t="shared" si="5"/>
        <v>3995.3975000000005</v>
      </c>
      <c r="AE9" s="193">
        <f t="shared" si="6"/>
        <v>332.94979166666673</v>
      </c>
      <c r="AF9" s="193">
        <f t="shared" si="7"/>
        <v>779.90159200000005</v>
      </c>
      <c r="AG9" s="193">
        <f t="shared" si="8"/>
        <v>4775.2990920000002</v>
      </c>
      <c r="AH9" s="177"/>
      <c r="AI9" s="177"/>
      <c r="AJ9" s="177"/>
      <c r="AK9" s="177"/>
      <c r="AL9" s="177"/>
      <c r="AM9" s="177"/>
      <c r="AN9" s="177"/>
      <c r="AO9" s="177"/>
      <c r="AP9" s="177"/>
      <c r="AQ9" s="177"/>
      <c r="AR9" s="177"/>
    </row>
    <row r="10" spans="1:44" ht="16">
      <c r="A10" s="176">
        <v>31</v>
      </c>
      <c r="B10" s="206">
        <v>382003</v>
      </c>
      <c r="C10" s="207">
        <v>385791</v>
      </c>
      <c r="D10" s="207">
        <v>388412</v>
      </c>
      <c r="E10" s="207">
        <v>392199</v>
      </c>
      <c r="F10" s="208">
        <v>394820</v>
      </c>
      <c r="G10" s="178"/>
      <c r="H10" s="179">
        <v>31</v>
      </c>
      <c r="I10" s="212">
        <v>31833.583333333332</v>
      </c>
      <c r="J10" s="213">
        <v>32149.25</v>
      </c>
      <c r="K10" s="213">
        <v>32367.666666666668</v>
      </c>
      <c r="L10" s="213">
        <v>32683.25</v>
      </c>
      <c r="M10" s="213">
        <v>32901.666666666664</v>
      </c>
      <c r="N10" s="181"/>
      <c r="O10" s="179">
        <v>31</v>
      </c>
      <c r="P10" s="216">
        <v>382003</v>
      </c>
      <c r="Q10" s="217">
        <v>385791</v>
      </c>
      <c r="R10" s="217">
        <v>388412</v>
      </c>
      <c r="S10" s="217">
        <v>392199</v>
      </c>
      <c r="T10" s="218">
        <v>394820</v>
      </c>
      <c r="U10" s="183">
        <f>C37</f>
        <v>1.5981590000000001</v>
      </c>
      <c r="V10" s="148">
        <v>2800</v>
      </c>
      <c r="W10" s="193">
        <f t="shared" si="1"/>
        <v>4474.8452000000007</v>
      </c>
      <c r="X10" s="193">
        <f t="shared" si="2"/>
        <v>372.90376666666674</v>
      </c>
      <c r="Y10" s="193">
        <f t="shared" si="3"/>
        <v>749.53657100000009</v>
      </c>
      <c r="Z10" s="193">
        <f t="shared" si="4"/>
        <v>5224.3817710000003</v>
      </c>
      <c r="AA10" s="1">
        <f>C38</f>
        <v>16.75</v>
      </c>
      <c r="AB10" s="180">
        <f>C39</f>
        <v>19.52</v>
      </c>
      <c r="AC10" s="148">
        <v>2800</v>
      </c>
      <c r="AD10" s="193">
        <f t="shared" si="5"/>
        <v>4474.8452000000007</v>
      </c>
      <c r="AE10" s="193">
        <f t="shared" si="6"/>
        <v>372.90376666666674</v>
      </c>
      <c r="AF10" s="193">
        <f t="shared" si="7"/>
        <v>873.48978304000002</v>
      </c>
      <c r="AG10" s="193">
        <f t="shared" si="8"/>
        <v>5348.3349830400002</v>
      </c>
      <c r="AH10" s="177"/>
      <c r="AI10" s="177"/>
      <c r="AJ10" s="177"/>
      <c r="AK10" s="177"/>
      <c r="AL10" s="177"/>
      <c r="AM10" s="177"/>
      <c r="AN10" s="177"/>
      <c r="AO10" s="177"/>
      <c r="AP10" s="177"/>
      <c r="AQ10" s="177"/>
      <c r="AR10" s="177"/>
    </row>
    <row r="11" spans="1:44" ht="16">
      <c r="A11" s="176">
        <v>32</v>
      </c>
      <c r="B11" s="206">
        <v>388476</v>
      </c>
      <c r="C11" s="207">
        <v>392008</v>
      </c>
      <c r="D11" s="207">
        <v>394452</v>
      </c>
      <c r="E11" s="207">
        <v>397985</v>
      </c>
      <c r="F11" s="208">
        <v>400430</v>
      </c>
      <c r="G11" s="178"/>
      <c r="H11" s="179">
        <v>32</v>
      </c>
      <c r="I11" s="212">
        <v>32373</v>
      </c>
      <c r="J11" s="213">
        <v>32667.333333333332</v>
      </c>
      <c r="K11" s="213">
        <v>32871</v>
      </c>
      <c r="L11" s="213">
        <v>33165.416666666664</v>
      </c>
      <c r="M11" s="213">
        <v>33369.166666666664</v>
      </c>
      <c r="N11" s="181"/>
      <c r="O11" s="179">
        <v>32</v>
      </c>
      <c r="P11" s="216">
        <v>388476</v>
      </c>
      <c r="Q11" s="217">
        <v>392008</v>
      </c>
      <c r="R11" s="217">
        <v>394452</v>
      </c>
      <c r="S11" s="217">
        <v>397985</v>
      </c>
      <c r="T11" s="218">
        <v>400430</v>
      </c>
      <c r="U11" s="183">
        <f>C37</f>
        <v>1.5981590000000001</v>
      </c>
      <c r="V11" s="148">
        <v>3100</v>
      </c>
      <c r="W11" s="193">
        <f t="shared" si="1"/>
        <v>4954.2929000000004</v>
      </c>
      <c r="X11" s="193">
        <f t="shared" si="2"/>
        <v>412.8577416666667</v>
      </c>
      <c r="Y11" s="193">
        <f t="shared" si="3"/>
        <v>829.84406075000004</v>
      </c>
      <c r="Z11" s="193">
        <f t="shared" si="4"/>
        <v>5784.1369607500001</v>
      </c>
      <c r="AA11" s="1">
        <f>C38</f>
        <v>16.75</v>
      </c>
      <c r="AB11" s="180">
        <f>C39</f>
        <v>19.52</v>
      </c>
      <c r="AC11" s="148">
        <v>3100</v>
      </c>
      <c r="AD11" s="193">
        <f t="shared" si="5"/>
        <v>4954.2929000000004</v>
      </c>
      <c r="AE11" s="193">
        <f t="shared" si="6"/>
        <v>412.8577416666667</v>
      </c>
      <c r="AF11" s="193">
        <f t="shared" si="7"/>
        <v>967.07797407999999</v>
      </c>
      <c r="AG11" s="193">
        <f t="shared" si="8"/>
        <v>5921.3708740800002</v>
      </c>
      <c r="AH11" s="177"/>
      <c r="AI11" s="177"/>
      <c r="AJ11" s="177"/>
      <c r="AK11" s="177"/>
      <c r="AL11" s="177"/>
      <c r="AM11" s="177"/>
      <c r="AN11" s="177"/>
      <c r="AO11" s="177"/>
      <c r="AP11" s="177"/>
      <c r="AQ11" s="177"/>
      <c r="AR11" s="177"/>
    </row>
    <row r="12" spans="1:44" ht="16">
      <c r="A12" s="176">
        <v>33</v>
      </c>
      <c r="B12" s="206">
        <v>395089</v>
      </c>
      <c r="C12" s="207">
        <v>398351</v>
      </c>
      <c r="D12" s="207">
        <v>400609</v>
      </c>
      <c r="E12" s="207">
        <v>403871</v>
      </c>
      <c r="F12" s="208">
        <v>406127</v>
      </c>
      <c r="G12" s="178"/>
      <c r="H12" s="179">
        <v>33</v>
      </c>
      <c r="I12" s="212">
        <v>32924.083333333336</v>
      </c>
      <c r="J12" s="213">
        <v>33195.916666666664</v>
      </c>
      <c r="K12" s="213">
        <v>33384.083333333336</v>
      </c>
      <c r="L12" s="213">
        <v>33655.916666666664</v>
      </c>
      <c r="M12" s="213">
        <v>33843.916666666664</v>
      </c>
      <c r="N12" s="181"/>
      <c r="O12" s="179">
        <v>33</v>
      </c>
      <c r="P12" s="216">
        <v>395089</v>
      </c>
      <c r="Q12" s="217">
        <v>398351</v>
      </c>
      <c r="R12" s="217">
        <v>400609</v>
      </c>
      <c r="S12" s="217">
        <v>403871</v>
      </c>
      <c r="T12" s="218">
        <v>406127</v>
      </c>
      <c r="U12">
        <f>C37</f>
        <v>1.5981590000000001</v>
      </c>
      <c r="V12" s="148">
        <v>3400</v>
      </c>
      <c r="W12" s="193">
        <f t="shared" si="1"/>
        <v>5433.7406000000001</v>
      </c>
      <c r="X12" s="193">
        <f t="shared" si="2"/>
        <v>452.81171666666665</v>
      </c>
      <c r="Y12" s="193">
        <f t="shared" si="3"/>
        <v>910.15155049999998</v>
      </c>
      <c r="Z12" s="193">
        <f t="shared" si="4"/>
        <v>6343.8921504999998</v>
      </c>
      <c r="AA12" s="1">
        <f>C38</f>
        <v>16.75</v>
      </c>
      <c r="AB12" s="185">
        <f>C39</f>
        <v>19.52</v>
      </c>
      <c r="AC12" s="148">
        <v>3400</v>
      </c>
      <c r="AD12" s="193">
        <f t="shared" si="5"/>
        <v>5433.7406000000001</v>
      </c>
      <c r="AE12" s="193">
        <f t="shared" si="6"/>
        <v>452.81171666666665</v>
      </c>
      <c r="AF12" s="193">
        <f t="shared" si="7"/>
        <v>1060.66616512</v>
      </c>
      <c r="AG12" s="193">
        <f t="shared" si="8"/>
        <v>6494.4067651200003</v>
      </c>
    </row>
    <row r="13" spans="1:44" ht="16">
      <c r="A13" s="176">
        <v>34</v>
      </c>
      <c r="B13" s="206">
        <v>401855</v>
      </c>
      <c r="C13" s="207">
        <v>404831</v>
      </c>
      <c r="D13" s="207">
        <v>406889</v>
      </c>
      <c r="E13" s="207">
        <v>409865</v>
      </c>
      <c r="F13" s="208">
        <v>411925</v>
      </c>
      <c r="G13" s="178"/>
      <c r="H13" s="179">
        <v>34</v>
      </c>
      <c r="I13" s="212">
        <v>33487.916666666664</v>
      </c>
      <c r="J13" s="213">
        <v>33735.916666666664</v>
      </c>
      <c r="K13" s="213">
        <v>33907.416666666664</v>
      </c>
      <c r="L13" s="213">
        <v>34155.416666666664</v>
      </c>
      <c r="M13" s="213">
        <v>34327.083333333336</v>
      </c>
      <c r="N13" s="181"/>
      <c r="O13" s="179">
        <v>34</v>
      </c>
      <c r="P13" s="216">
        <v>401855</v>
      </c>
      <c r="Q13" s="217">
        <v>404831</v>
      </c>
      <c r="R13" s="217">
        <v>406889</v>
      </c>
      <c r="S13" s="217">
        <v>409865</v>
      </c>
      <c r="T13" s="218">
        <v>411925</v>
      </c>
      <c r="U13">
        <f>C37</f>
        <v>1.5981590000000001</v>
      </c>
      <c r="V13" s="148">
        <v>3600</v>
      </c>
      <c r="W13" s="193">
        <f t="shared" si="1"/>
        <v>5753.3724000000002</v>
      </c>
      <c r="X13" s="193">
        <f t="shared" si="2"/>
        <v>479.4477</v>
      </c>
      <c r="Y13" s="193">
        <f t="shared" si="3"/>
        <v>963.68987700000002</v>
      </c>
      <c r="Z13" s="193">
        <f t="shared" si="4"/>
        <v>6717.062277</v>
      </c>
      <c r="AA13" s="1">
        <f>C38</f>
        <v>16.75</v>
      </c>
      <c r="AB13" s="185">
        <f>C39</f>
        <v>19.52</v>
      </c>
      <c r="AC13" s="148">
        <v>3600</v>
      </c>
      <c r="AD13" s="193">
        <f t="shared" si="5"/>
        <v>5753.3724000000002</v>
      </c>
      <c r="AE13" s="193">
        <f t="shared" si="6"/>
        <v>479.4477</v>
      </c>
      <c r="AF13" s="193">
        <f t="shared" si="7"/>
        <v>1123.0582924799999</v>
      </c>
      <c r="AG13" s="193">
        <f t="shared" si="8"/>
        <v>6876.4306924800003</v>
      </c>
    </row>
    <row r="14" spans="1:44" ht="16">
      <c r="A14" s="184">
        <v>35</v>
      </c>
      <c r="B14" s="209">
        <v>408764</v>
      </c>
      <c r="C14" s="210">
        <v>411436</v>
      </c>
      <c r="D14" s="210">
        <v>413285</v>
      </c>
      <c r="E14" s="210">
        <v>415956</v>
      </c>
      <c r="F14" s="211">
        <v>417806</v>
      </c>
      <c r="G14" s="178"/>
      <c r="H14" s="179">
        <v>35</v>
      </c>
      <c r="I14" s="214">
        <v>34063.666666666664</v>
      </c>
      <c r="J14" s="215">
        <v>34286.333333333336</v>
      </c>
      <c r="K14" s="215">
        <v>34440.416666666664</v>
      </c>
      <c r="L14" s="215">
        <v>34663</v>
      </c>
      <c r="M14" s="215">
        <v>34817.166666666664</v>
      </c>
      <c r="N14" s="181"/>
      <c r="O14" s="179">
        <v>35</v>
      </c>
      <c r="P14" s="219">
        <v>408764</v>
      </c>
      <c r="Q14" s="220">
        <v>411436</v>
      </c>
      <c r="R14" s="220">
        <v>413285</v>
      </c>
      <c r="S14" s="220">
        <v>415956</v>
      </c>
      <c r="T14" s="221">
        <v>417806</v>
      </c>
      <c r="U14">
        <f>C37</f>
        <v>1.5981590000000001</v>
      </c>
      <c r="V14" s="148">
        <v>3800</v>
      </c>
      <c r="W14" s="193">
        <f t="shared" si="1"/>
        <v>6073.0042000000003</v>
      </c>
      <c r="X14" s="193">
        <f t="shared" si="2"/>
        <v>506.08368333333334</v>
      </c>
      <c r="Y14" s="193">
        <f t="shared" si="3"/>
        <v>1017.2282035000001</v>
      </c>
      <c r="Z14" s="193">
        <f t="shared" si="4"/>
        <v>7090.2324035000001</v>
      </c>
      <c r="AA14" s="1">
        <f>C38</f>
        <v>16.75</v>
      </c>
      <c r="AB14" s="185">
        <f>C39</f>
        <v>19.52</v>
      </c>
      <c r="AC14" s="148">
        <v>3800</v>
      </c>
      <c r="AD14" s="193">
        <f t="shared" si="5"/>
        <v>6073.0042000000003</v>
      </c>
      <c r="AE14" s="193">
        <f t="shared" si="6"/>
        <v>506.08368333333334</v>
      </c>
      <c r="AF14" s="193">
        <f t="shared" si="7"/>
        <v>1185.45041984</v>
      </c>
      <c r="AG14" s="193">
        <f t="shared" si="8"/>
        <v>7258.4546198400003</v>
      </c>
    </row>
    <row r="15" spans="1:44" ht="16">
      <c r="A15" s="176">
        <v>36</v>
      </c>
      <c r="B15" s="206">
        <v>415831</v>
      </c>
      <c r="C15" s="207">
        <v>418182</v>
      </c>
      <c r="D15" s="207">
        <v>419807</v>
      </c>
      <c r="E15" s="207">
        <v>422157</v>
      </c>
      <c r="F15" s="208">
        <v>423783</v>
      </c>
      <c r="G15" s="178"/>
      <c r="H15" s="179">
        <v>36</v>
      </c>
      <c r="I15" s="212">
        <v>34652.583333333336</v>
      </c>
      <c r="J15" s="213">
        <v>34848.5</v>
      </c>
      <c r="K15" s="213">
        <v>34983.916666666664</v>
      </c>
      <c r="L15" s="213">
        <v>35179.75</v>
      </c>
      <c r="M15" s="213">
        <v>35315.25</v>
      </c>
      <c r="N15" s="181"/>
      <c r="O15" s="179">
        <v>36</v>
      </c>
      <c r="P15" s="216">
        <v>415831</v>
      </c>
      <c r="Q15" s="217">
        <v>418182</v>
      </c>
      <c r="R15" s="217">
        <v>419807</v>
      </c>
      <c r="S15" s="217">
        <v>422157</v>
      </c>
      <c r="T15" s="218">
        <v>423783</v>
      </c>
      <c r="U15">
        <f>C37</f>
        <v>1.5981590000000001</v>
      </c>
      <c r="V15" s="148">
        <v>4100</v>
      </c>
      <c r="W15" s="193">
        <f t="shared" si="1"/>
        <v>6552.4519</v>
      </c>
      <c r="X15" s="193">
        <f t="shared" si="2"/>
        <v>546.0376583333333</v>
      </c>
      <c r="Y15" s="193">
        <f t="shared" si="3"/>
        <v>1097.5356932500001</v>
      </c>
      <c r="Z15" s="193">
        <f t="shared" si="4"/>
        <v>7649.9875932499999</v>
      </c>
      <c r="AA15" s="1">
        <f>C38</f>
        <v>16.75</v>
      </c>
      <c r="AB15" s="185">
        <f>C39</f>
        <v>19.52</v>
      </c>
      <c r="AC15" s="148">
        <v>4100</v>
      </c>
      <c r="AD15" s="193">
        <f t="shared" si="5"/>
        <v>6552.4519</v>
      </c>
      <c r="AE15" s="193">
        <f t="shared" si="6"/>
        <v>546.0376583333333</v>
      </c>
      <c r="AF15" s="193">
        <f t="shared" si="7"/>
        <v>1279.0386108799999</v>
      </c>
      <c r="AG15" s="193">
        <f t="shared" si="8"/>
        <v>7831.4905108799994</v>
      </c>
    </row>
    <row r="16" spans="1:44" ht="16">
      <c r="A16" s="176">
        <v>37</v>
      </c>
      <c r="B16" s="206">
        <v>423052</v>
      </c>
      <c r="C16" s="207">
        <v>425061</v>
      </c>
      <c r="D16" s="207">
        <v>426453</v>
      </c>
      <c r="E16" s="207">
        <v>428462</v>
      </c>
      <c r="F16" s="208">
        <v>429852</v>
      </c>
      <c r="G16" s="178"/>
      <c r="H16" s="179">
        <v>37</v>
      </c>
      <c r="I16" s="212">
        <v>35254.333333333336</v>
      </c>
      <c r="J16" s="213">
        <v>35421.75</v>
      </c>
      <c r="K16" s="213">
        <v>35537.75</v>
      </c>
      <c r="L16" s="213">
        <v>35705.166666666664</v>
      </c>
      <c r="M16" s="213">
        <v>35821</v>
      </c>
      <c r="N16" s="181"/>
      <c r="O16" s="179">
        <v>37</v>
      </c>
      <c r="P16" s="216">
        <v>423052</v>
      </c>
      <c r="Q16" s="217">
        <v>425061</v>
      </c>
      <c r="R16" s="217">
        <v>426453</v>
      </c>
      <c r="S16" s="217">
        <v>428462</v>
      </c>
      <c r="T16" s="218">
        <v>429852</v>
      </c>
      <c r="U16">
        <f>C37</f>
        <v>1.5981590000000001</v>
      </c>
      <c r="V16" s="148">
        <v>4300</v>
      </c>
      <c r="W16" s="193">
        <f t="shared" si="1"/>
        <v>6872.0837000000001</v>
      </c>
      <c r="X16" s="193">
        <f t="shared" si="2"/>
        <v>572.67364166666664</v>
      </c>
      <c r="Y16" s="193">
        <f t="shared" si="3"/>
        <v>1151.0740197499999</v>
      </c>
      <c r="Z16" s="193">
        <f t="shared" si="4"/>
        <v>8023.1577197500001</v>
      </c>
      <c r="AA16" s="1">
        <f>C38</f>
        <v>16.75</v>
      </c>
      <c r="AB16" s="185">
        <f>C39</f>
        <v>19.52</v>
      </c>
      <c r="AC16" s="148">
        <v>4300</v>
      </c>
      <c r="AD16" s="193">
        <f t="shared" si="5"/>
        <v>6872.0837000000001</v>
      </c>
      <c r="AE16" s="193">
        <f t="shared" si="6"/>
        <v>572.67364166666664</v>
      </c>
      <c r="AF16" s="193">
        <f t="shared" si="7"/>
        <v>1341.43073824</v>
      </c>
      <c r="AG16" s="193">
        <f t="shared" si="8"/>
        <v>8213.5144382399994</v>
      </c>
    </row>
    <row r="17" spans="1:33" ht="16">
      <c r="A17" s="176">
        <v>38</v>
      </c>
      <c r="B17" s="206">
        <v>430717</v>
      </c>
      <c r="C17" s="207">
        <v>432398</v>
      </c>
      <c r="D17" s="207">
        <v>433563</v>
      </c>
      <c r="E17" s="207">
        <v>435245</v>
      </c>
      <c r="F17" s="208">
        <v>436411</v>
      </c>
      <c r="G17" s="178"/>
      <c r="H17" s="179">
        <v>38</v>
      </c>
      <c r="I17" s="212">
        <v>35893.083333333336</v>
      </c>
      <c r="J17" s="213">
        <v>36033.166666666664</v>
      </c>
      <c r="K17" s="213">
        <v>36130.25</v>
      </c>
      <c r="L17" s="213">
        <v>36270.416666666664</v>
      </c>
      <c r="M17" s="213">
        <v>36367.583333333336</v>
      </c>
      <c r="N17" s="181"/>
      <c r="O17" s="179">
        <v>38</v>
      </c>
      <c r="P17" s="216">
        <v>430717</v>
      </c>
      <c r="Q17" s="217">
        <v>432398</v>
      </c>
      <c r="R17" s="217">
        <v>433563</v>
      </c>
      <c r="S17" s="217">
        <v>435245</v>
      </c>
      <c r="T17" s="218">
        <v>436411</v>
      </c>
      <c r="U17">
        <f>C37</f>
        <v>1.5981590000000001</v>
      </c>
      <c r="V17" s="148">
        <v>4800</v>
      </c>
      <c r="W17" s="193">
        <f t="shared" si="1"/>
        <v>7671.1632000000009</v>
      </c>
      <c r="X17" s="193">
        <f t="shared" si="2"/>
        <v>639.26360000000011</v>
      </c>
      <c r="Y17" s="193">
        <f t="shared" si="3"/>
        <v>1284.9198360000003</v>
      </c>
      <c r="Z17" s="193">
        <f t="shared" si="4"/>
        <v>8956.0830360000018</v>
      </c>
      <c r="AA17" s="1">
        <f>C38</f>
        <v>16.75</v>
      </c>
      <c r="AB17" s="185">
        <f>C39</f>
        <v>19.52</v>
      </c>
      <c r="AC17" s="148">
        <v>4800</v>
      </c>
      <c r="AD17" s="193">
        <f t="shared" si="5"/>
        <v>7671.1632000000009</v>
      </c>
      <c r="AE17" s="193">
        <f t="shared" si="6"/>
        <v>639.26360000000011</v>
      </c>
      <c r="AF17" s="193">
        <f t="shared" si="7"/>
        <v>1497.41105664</v>
      </c>
      <c r="AG17" s="193">
        <f t="shared" si="8"/>
        <v>9168.5742566400004</v>
      </c>
    </row>
    <row r="18" spans="1:33" ht="16">
      <c r="A18" s="176">
        <v>39</v>
      </c>
      <c r="B18" s="206">
        <v>438412</v>
      </c>
      <c r="C18" s="207">
        <v>439707</v>
      </c>
      <c r="D18" s="207">
        <v>440603</v>
      </c>
      <c r="E18" s="207">
        <v>441898</v>
      </c>
      <c r="F18" s="208">
        <v>442796</v>
      </c>
      <c r="G18" s="178"/>
      <c r="H18" s="179">
        <v>39</v>
      </c>
      <c r="I18" s="212">
        <v>36534.333333333336</v>
      </c>
      <c r="J18" s="213">
        <v>36642.25</v>
      </c>
      <c r="K18" s="213">
        <v>36716.916666666664</v>
      </c>
      <c r="L18" s="213">
        <v>36824.833333333336</v>
      </c>
      <c r="M18" s="213">
        <v>36899.666666666664</v>
      </c>
      <c r="N18" s="181"/>
      <c r="O18" s="179">
        <v>39</v>
      </c>
      <c r="P18" s="216">
        <v>438412</v>
      </c>
      <c r="Q18" s="217">
        <v>439707</v>
      </c>
      <c r="R18" s="217">
        <v>440603</v>
      </c>
      <c r="S18" s="217">
        <v>441898</v>
      </c>
      <c r="T18" s="218">
        <v>442796</v>
      </c>
      <c r="U18">
        <f>C37</f>
        <v>1.5981590000000001</v>
      </c>
      <c r="V18" s="148">
        <v>4900</v>
      </c>
      <c r="W18" s="193">
        <f t="shared" si="1"/>
        <v>7830.9791000000005</v>
      </c>
      <c r="X18" s="193">
        <f t="shared" si="2"/>
        <v>652.58159166666667</v>
      </c>
      <c r="Y18" s="193">
        <f t="shared" si="3"/>
        <v>1311.6889992500001</v>
      </c>
      <c r="Z18" s="193">
        <f t="shared" si="4"/>
        <v>9142.6680992500005</v>
      </c>
      <c r="AA18" s="1">
        <f>C38</f>
        <v>16.75</v>
      </c>
      <c r="AB18" s="185">
        <f>C39</f>
        <v>19.52</v>
      </c>
      <c r="AC18" s="148">
        <v>4900</v>
      </c>
      <c r="AD18" s="193">
        <f t="shared" si="5"/>
        <v>7830.9791000000005</v>
      </c>
      <c r="AE18" s="193">
        <f t="shared" si="6"/>
        <v>652.58159166666667</v>
      </c>
      <c r="AF18" s="193">
        <f t="shared" si="7"/>
        <v>1528.6071203200001</v>
      </c>
      <c r="AG18" s="193">
        <f t="shared" si="8"/>
        <v>9359.5862203200013</v>
      </c>
    </row>
    <row r="19" spans="1:33" ht="16">
      <c r="A19" s="184">
        <v>40</v>
      </c>
      <c r="B19" s="209">
        <v>446281</v>
      </c>
      <c r="C19" s="210">
        <v>447166</v>
      </c>
      <c r="D19" s="210">
        <v>447780</v>
      </c>
      <c r="E19" s="210">
        <v>448667</v>
      </c>
      <c r="F19" s="211">
        <v>449281</v>
      </c>
      <c r="G19" s="178"/>
      <c r="H19" s="179">
        <v>40</v>
      </c>
      <c r="I19" s="214">
        <v>37190.083333333336</v>
      </c>
      <c r="J19" s="215">
        <v>37263.833333333336</v>
      </c>
      <c r="K19" s="215">
        <v>37315</v>
      </c>
      <c r="L19" s="215">
        <v>37388.916666666664</v>
      </c>
      <c r="M19" s="215">
        <v>37440.083333333336</v>
      </c>
      <c r="N19" s="181"/>
      <c r="O19" s="179">
        <v>40</v>
      </c>
      <c r="P19" s="219">
        <v>446281</v>
      </c>
      <c r="Q19" s="220">
        <v>447166</v>
      </c>
      <c r="R19" s="220">
        <v>447780</v>
      </c>
      <c r="S19" s="220">
        <v>448667</v>
      </c>
      <c r="T19" s="221">
        <v>449281</v>
      </c>
      <c r="U19">
        <f>C37</f>
        <v>1.5981590000000001</v>
      </c>
      <c r="V19" s="148">
        <v>5200</v>
      </c>
      <c r="W19" s="193">
        <f t="shared" si="1"/>
        <v>8310.4268000000011</v>
      </c>
      <c r="X19" s="193">
        <f t="shared" si="2"/>
        <v>692.5355666666668</v>
      </c>
      <c r="Y19" s="193">
        <f t="shared" si="3"/>
        <v>1391.9964890000003</v>
      </c>
      <c r="Z19" s="193">
        <f t="shared" si="4"/>
        <v>9702.4232890000021</v>
      </c>
      <c r="AA19" s="1">
        <f>C38</f>
        <v>16.75</v>
      </c>
      <c r="AB19" s="185">
        <f>C39</f>
        <v>19.52</v>
      </c>
      <c r="AC19" s="148">
        <v>5200</v>
      </c>
      <c r="AD19" s="193">
        <f t="shared" si="5"/>
        <v>8310.4268000000011</v>
      </c>
      <c r="AE19" s="193">
        <f t="shared" si="6"/>
        <v>692.5355666666668</v>
      </c>
      <c r="AF19" s="193">
        <f t="shared" si="7"/>
        <v>1622.19531136</v>
      </c>
      <c r="AG19" s="193">
        <f t="shared" si="8"/>
        <v>9932.6221113600004</v>
      </c>
    </row>
    <row r="20" spans="1:33" ht="16">
      <c r="A20" s="176">
        <v>41</v>
      </c>
      <c r="B20" s="206">
        <v>454321</v>
      </c>
      <c r="C20" s="207">
        <v>454775</v>
      </c>
      <c r="D20" s="207">
        <v>455091</v>
      </c>
      <c r="E20" s="207">
        <v>455544</v>
      </c>
      <c r="F20" s="208">
        <v>455860</v>
      </c>
      <c r="G20" s="178"/>
      <c r="H20" s="179">
        <v>41</v>
      </c>
      <c r="I20" s="212">
        <v>37860.083333333336</v>
      </c>
      <c r="J20" s="213">
        <v>37897.916666666664</v>
      </c>
      <c r="K20" s="213">
        <v>37924.25</v>
      </c>
      <c r="L20" s="213">
        <v>37962</v>
      </c>
      <c r="M20" s="213">
        <v>37988.333333333336</v>
      </c>
      <c r="N20" s="181"/>
      <c r="O20" s="179">
        <v>41</v>
      </c>
      <c r="P20" s="216">
        <v>454321</v>
      </c>
      <c r="Q20" s="217">
        <v>454775</v>
      </c>
      <c r="R20" s="217">
        <v>455091</v>
      </c>
      <c r="S20" s="217">
        <v>455544</v>
      </c>
      <c r="T20" s="218">
        <v>455860</v>
      </c>
      <c r="U20">
        <f>C37</f>
        <v>1.5981590000000001</v>
      </c>
      <c r="V20" s="148">
        <v>6000</v>
      </c>
      <c r="W20" s="193">
        <f t="shared" si="1"/>
        <v>9588.9540000000015</v>
      </c>
      <c r="X20" s="193">
        <f t="shared" si="2"/>
        <v>799.07950000000017</v>
      </c>
      <c r="Y20" s="193">
        <f t="shared" si="3"/>
        <v>1606.1497950000003</v>
      </c>
      <c r="Z20" s="193">
        <f t="shared" si="4"/>
        <v>11195.103795000003</v>
      </c>
      <c r="AA20" s="1">
        <f>C38</f>
        <v>16.75</v>
      </c>
      <c r="AB20" s="185">
        <f>C39</f>
        <v>19.52</v>
      </c>
      <c r="AC20" s="148">
        <v>6000</v>
      </c>
      <c r="AD20" s="193">
        <f t="shared" si="5"/>
        <v>9588.9540000000015</v>
      </c>
      <c r="AE20" s="193">
        <f t="shared" si="6"/>
        <v>799.07950000000017</v>
      </c>
      <c r="AF20" s="193">
        <f t="shared" si="7"/>
        <v>1871.7638208000003</v>
      </c>
      <c r="AG20" s="193">
        <f t="shared" si="8"/>
        <v>11460.717820800002</v>
      </c>
    </row>
    <row r="21" spans="1:33" ht="16">
      <c r="A21" s="176">
        <v>42</v>
      </c>
      <c r="B21" s="206">
        <v>462536</v>
      </c>
      <c r="C21" s="207">
        <v>462536</v>
      </c>
      <c r="D21" s="207">
        <v>462536</v>
      </c>
      <c r="E21" s="207">
        <v>462536</v>
      </c>
      <c r="F21" s="208">
        <v>462536</v>
      </c>
      <c r="G21" s="178"/>
      <c r="H21" s="179">
        <v>42</v>
      </c>
      <c r="I21" s="212">
        <v>38544.666666666664</v>
      </c>
      <c r="J21" s="213">
        <v>38544.666666666664</v>
      </c>
      <c r="K21" s="213">
        <v>38544.666666666664</v>
      </c>
      <c r="L21" s="213">
        <v>38544.666666666664</v>
      </c>
      <c r="M21" s="213">
        <v>38544.666666666664</v>
      </c>
      <c r="N21" s="181"/>
      <c r="O21" s="179">
        <v>42</v>
      </c>
      <c r="P21" s="216">
        <v>462536</v>
      </c>
      <c r="Q21" s="217">
        <v>462536</v>
      </c>
      <c r="R21" s="217">
        <v>462536</v>
      </c>
      <c r="S21" s="217">
        <v>462536</v>
      </c>
      <c r="T21" s="218">
        <v>462536</v>
      </c>
      <c r="U21">
        <f>C37</f>
        <v>1.5981590000000001</v>
      </c>
      <c r="V21" s="148">
        <v>7000</v>
      </c>
      <c r="W21" s="193">
        <f t="shared" si="1"/>
        <v>11187.113000000001</v>
      </c>
      <c r="X21" s="193">
        <f t="shared" si="2"/>
        <v>932.25941666666677</v>
      </c>
      <c r="Y21" s="193">
        <f t="shared" si="3"/>
        <v>1873.8414275000002</v>
      </c>
      <c r="Z21" s="193">
        <f t="shared" si="4"/>
        <v>13060.954427500001</v>
      </c>
      <c r="AA21" s="1">
        <f>C38</f>
        <v>16.75</v>
      </c>
      <c r="AB21" s="185">
        <f>C39</f>
        <v>19.52</v>
      </c>
      <c r="AC21" s="148">
        <v>7000</v>
      </c>
      <c r="AD21" s="193">
        <f t="shared" si="5"/>
        <v>11187.113000000001</v>
      </c>
      <c r="AE21" s="193">
        <f t="shared" si="6"/>
        <v>932.25941666666677</v>
      </c>
      <c r="AF21" s="193">
        <f t="shared" si="7"/>
        <v>2183.7244576000003</v>
      </c>
      <c r="AG21" s="193">
        <f t="shared" si="8"/>
        <v>13370.837457600002</v>
      </c>
    </row>
    <row r="22" spans="1:33" ht="16">
      <c r="A22" s="176">
        <v>43</v>
      </c>
      <c r="B22" s="206">
        <v>472815</v>
      </c>
      <c r="C22" s="207">
        <v>472815</v>
      </c>
      <c r="D22" s="207">
        <v>472815</v>
      </c>
      <c r="E22" s="207">
        <v>472815</v>
      </c>
      <c r="F22" s="208">
        <v>472815</v>
      </c>
      <c r="G22" s="178"/>
      <c r="H22" s="179">
        <v>43</v>
      </c>
      <c r="I22" s="212">
        <v>39401.25</v>
      </c>
      <c r="J22" s="213">
        <v>39401.25</v>
      </c>
      <c r="K22" s="213">
        <v>39401.25</v>
      </c>
      <c r="L22" s="213">
        <v>39401.25</v>
      </c>
      <c r="M22" s="213">
        <v>39401.25</v>
      </c>
      <c r="N22" s="181"/>
      <c r="O22" s="179">
        <v>43</v>
      </c>
      <c r="P22" s="216">
        <v>472815</v>
      </c>
      <c r="Q22" s="217">
        <v>472815</v>
      </c>
      <c r="R22" s="217">
        <v>472815</v>
      </c>
      <c r="S22" s="217">
        <v>472815</v>
      </c>
      <c r="T22" s="218">
        <v>472815</v>
      </c>
      <c r="U22">
        <f>C37</f>
        <v>1.5981590000000001</v>
      </c>
      <c r="V22" s="149">
        <v>8100</v>
      </c>
      <c r="W22" s="193">
        <f t="shared" si="1"/>
        <v>12945.0879</v>
      </c>
      <c r="X22" s="193">
        <f t="shared" si="2"/>
        <v>1078.757325</v>
      </c>
      <c r="Y22" s="193">
        <f t="shared" si="3"/>
        <v>2168.3022232500002</v>
      </c>
      <c r="Z22" s="193">
        <f t="shared" si="4"/>
        <v>15113.390123250001</v>
      </c>
      <c r="AA22" s="1">
        <f>C38</f>
        <v>16.75</v>
      </c>
      <c r="AB22" s="185">
        <f>C39</f>
        <v>19.52</v>
      </c>
      <c r="AC22" s="149">
        <v>8100</v>
      </c>
      <c r="AD22" s="193">
        <f t="shared" si="5"/>
        <v>12945.0879</v>
      </c>
      <c r="AE22" s="193">
        <f t="shared" si="6"/>
        <v>1078.757325</v>
      </c>
      <c r="AF22" s="193">
        <f t="shared" si="7"/>
        <v>2526.8811580800002</v>
      </c>
      <c r="AG22" s="193">
        <f t="shared" si="8"/>
        <v>15471.969058080002</v>
      </c>
    </row>
    <row r="23" spans="1:33" ht="16">
      <c r="A23" s="176">
        <v>44</v>
      </c>
      <c r="B23" s="206">
        <v>483379</v>
      </c>
      <c r="C23" s="207">
        <v>483379</v>
      </c>
      <c r="D23" s="207">
        <v>483379</v>
      </c>
      <c r="E23" s="207">
        <v>483379</v>
      </c>
      <c r="F23" s="208">
        <v>483379</v>
      </c>
      <c r="G23" s="178"/>
      <c r="H23" s="179">
        <v>44</v>
      </c>
      <c r="I23" s="212">
        <v>40281.583333333336</v>
      </c>
      <c r="J23" s="213">
        <v>40281.583333333336</v>
      </c>
      <c r="K23" s="213">
        <v>40281.583333333336</v>
      </c>
      <c r="L23" s="213">
        <v>40281.583333333336</v>
      </c>
      <c r="M23" s="213">
        <v>40281.583333333336</v>
      </c>
      <c r="N23" s="181"/>
      <c r="O23" s="179">
        <v>44</v>
      </c>
      <c r="P23" s="216">
        <v>483379</v>
      </c>
      <c r="Q23" s="217">
        <v>483379</v>
      </c>
      <c r="R23" s="217">
        <v>483379</v>
      </c>
      <c r="S23" s="217">
        <v>483379</v>
      </c>
      <c r="T23" s="218">
        <v>483379</v>
      </c>
      <c r="U23">
        <f>C37</f>
        <v>1.5981590000000001</v>
      </c>
      <c r="V23" s="149">
        <v>9100</v>
      </c>
      <c r="W23" s="193">
        <f t="shared" si="1"/>
        <v>14543.2469</v>
      </c>
      <c r="X23" s="193">
        <f t="shared" si="2"/>
        <v>1211.9372416666668</v>
      </c>
      <c r="Y23" s="193">
        <f t="shared" si="3"/>
        <v>2435.99385575</v>
      </c>
      <c r="Z23" s="193">
        <f t="shared" si="4"/>
        <v>16979.240755750001</v>
      </c>
      <c r="AA23" s="1">
        <f>C38</f>
        <v>16.75</v>
      </c>
      <c r="AB23" s="185">
        <f>C39</f>
        <v>19.52</v>
      </c>
      <c r="AC23" s="149">
        <v>9100</v>
      </c>
      <c r="AD23" s="193">
        <f t="shared" si="5"/>
        <v>14543.2469</v>
      </c>
      <c r="AE23" s="193">
        <f t="shared" si="6"/>
        <v>1211.9372416666668</v>
      </c>
      <c r="AF23" s="193">
        <f t="shared" si="7"/>
        <v>2838.8417948799997</v>
      </c>
      <c r="AG23" s="193">
        <f t="shared" si="8"/>
        <v>17382.08869488</v>
      </c>
    </row>
    <row r="24" spans="1:33" ht="16">
      <c r="A24" s="184">
        <v>45</v>
      </c>
      <c r="B24" s="209">
        <v>494232</v>
      </c>
      <c r="C24" s="210">
        <v>494232</v>
      </c>
      <c r="D24" s="210">
        <v>494232</v>
      </c>
      <c r="E24" s="210">
        <v>494232</v>
      </c>
      <c r="F24" s="211">
        <v>494232</v>
      </c>
      <c r="G24" s="178"/>
      <c r="H24" s="179">
        <v>45</v>
      </c>
      <c r="I24" s="214">
        <v>41186</v>
      </c>
      <c r="J24" s="215">
        <v>41186</v>
      </c>
      <c r="K24" s="215">
        <v>41186</v>
      </c>
      <c r="L24" s="215">
        <v>41186</v>
      </c>
      <c r="M24" s="215">
        <v>41186</v>
      </c>
      <c r="N24" s="181"/>
      <c r="O24" s="179">
        <v>45</v>
      </c>
      <c r="P24" s="219">
        <v>494232</v>
      </c>
      <c r="Q24" s="220">
        <v>494232</v>
      </c>
      <c r="R24" s="220">
        <v>494232</v>
      </c>
      <c r="S24" s="220">
        <v>494232</v>
      </c>
      <c r="T24" s="221">
        <v>494232</v>
      </c>
      <c r="U24">
        <f>C37</f>
        <v>1.5981590000000001</v>
      </c>
      <c r="V24" s="149">
        <v>12000</v>
      </c>
      <c r="W24" s="193">
        <f t="shared" si="1"/>
        <v>19177.908000000003</v>
      </c>
      <c r="X24" s="193">
        <f t="shared" si="2"/>
        <v>1598.1590000000003</v>
      </c>
      <c r="Y24" s="193">
        <f t="shared" si="3"/>
        <v>3212.2995900000005</v>
      </c>
      <c r="Z24" s="193">
        <f t="shared" si="4"/>
        <v>22390.207590000005</v>
      </c>
      <c r="AA24" s="1">
        <f>C38</f>
        <v>16.75</v>
      </c>
      <c r="AB24" s="185">
        <f>C39</f>
        <v>19.52</v>
      </c>
      <c r="AC24" s="149">
        <v>12000</v>
      </c>
      <c r="AD24" s="193">
        <f t="shared" si="5"/>
        <v>19177.908000000003</v>
      </c>
      <c r="AE24" s="193">
        <f t="shared" si="6"/>
        <v>1598.1590000000003</v>
      </c>
      <c r="AF24" s="193">
        <f t="shared" si="7"/>
        <v>3743.5276416000006</v>
      </c>
      <c r="AG24" s="193">
        <f t="shared" si="8"/>
        <v>22921.435641600005</v>
      </c>
    </row>
    <row r="25" spans="1:33" ht="16">
      <c r="A25" s="176">
        <v>46</v>
      </c>
      <c r="B25" s="206">
        <v>505384</v>
      </c>
      <c r="C25" s="207">
        <v>505384</v>
      </c>
      <c r="D25" s="207">
        <v>505384</v>
      </c>
      <c r="E25" s="207">
        <v>505384</v>
      </c>
      <c r="F25" s="208">
        <v>505384</v>
      </c>
      <c r="G25" s="178"/>
      <c r="H25" s="179">
        <v>46</v>
      </c>
      <c r="I25" s="212">
        <v>42115.333333333336</v>
      </c>
      <c r="J25" s="213">
        <v>42115.333333333336</v>
      </c>
      <c r="K25" s="213">
        <v>42115.333333333336</v>
      </c>
      <c r="L25" s="213">
        <v>42115.333333333336</v>
      </c>
      <c r="M25" s="213">
        <v>42115.333333333336</v>
      </c>
      <c r="N25" s="181"/>
      <c r="O25" s="179">
        <v>46</v>
      </c>
      <c r="P25" s="216">
        <v>505384</v>
      </c>
      <c r="Q25" s="217">
        <v>505384</v>
      </c>
      <c r="R25" s="217">
        <v>505384</v>
      </c>
      <c r="S25" s="217">
        <v>505384</v>
      </c>
      <c r="T25" s="218">
        <v>505384</v>
      </c>
      <c r="U25">
        <f>C37</f>
        <v>1.5981590000000001</v>
      </c>
      <c r="V25" s="149">
        <v>20300</v>
      </c>
      <c r="W25" s="193">
        <f t="shared" si="1"/>
        <v>32442.627700000001</v>
      </c>
      <c r="X25" s="193">
        <f t="shared" si="2"/>
        <v>2703.5523083333333</v>
      </c>
      <c r="Y25" s="193">
        <f t="shared" si="3"/>
        <v>5434.1401397500003</v>
      </c>
      <c r="Z25" s="193">
        <f t="shared" si="4"/>
        <v>37876.767839749999</v>
      </c>
      <c r="AA25" s="1">
        <f>C38</f>
        <v>16.75</v>
      </c>
      <c r="AB25" s="185">
        <f>C39</f>
        <v>19.52</v>
      </c>
      <c r="AC25" s="149">
        <v>20300</v>
      </c>
      <c r="AD25" s="193">
        <f t="shared" si="5"/>
        <v>32442.627700000001</v>
      </c>
      <c r="AE25" s="193">
        <f t="shared" si="6"/>
        <v>2703.5523083333333</v>
      </c>
      <c r="AF25" s="193">
        <f t="shared" si="7"/>
        <v>6332.8009270399998</v>
      </c>
      <c r="AG25" s="193">
        <f t="shared" si="8"/>
        <v>38775.428627040004</v>
      </c>
    </row>
    <row r="26" spans="1:33" ht="16">
      <c r="A26" s="176">
        <v>47</v>
      </c>
      <c r="B26" s="206">
        <v>514380</v>
      </c>
      <c r="C26" s="207">
        <v>514380</v>
      </c>
      <c r="D26" s="207">
        <v>514380</v>
      </c>
      <c r="E26" s="207">
        <v>514380</v>
      </c>
      <c r="F26" s="208">
        <v>514380</v>
      </c>
      <c r="G26" s="178"/>
      <c r="H26" s="179">
        <v>47</v>
      </c>
      <c r="I26" s="212">
        <v>42865</v>
      </c>
      <c r="J26" s="213">
        <v>42865</v>
      </c>
      <c r="K26" s="213">
        <v>42865</v>
      </c>
      <c r="L26" s="213">
        <v>42865</v>
      </c>
      <c r="M26" s="213">
        <v>42865</v>
      </c>
      <c r="N26" s="181"/>
      <c r="O26" s="179">
        <v>47</v>
      </c>
      <c r="P26" s="216">
        <v>514380</v>
      </c>
      <c r="Q26" s="217">
        <v>514380</v>
      </c>
      <c r="R26" s="217">
        <v>514380</v>
      </c>
      <c r="S26" s="217">
        <v>514380</v>
      </c>
      <c r="T26" s="218">
        <v>514380</v>
      </c>
      <c r="U26">
        <f>C37</f>
        <v>1.5981590000000001</v>
      </c>
      <c r="V26" s="149">
        <v>30600</v>
      </c>
      <c r="W26" s="193">
        <f t="shared" si="1"/>
        <v>48903.665400000005</v>
      </c>
      <c r="X26" s="193">
        <f t="shared" si="2"/>
        <v>4075.3054500000003</v>
      </c>
      <c r="Y26" s="193">
        <f t="shared" si="3"/>
        <v>8191.3639545000005</v>
      </c>
      <c r="Z26" s="193">
        <f t="shared" si="4"/>
        <v>57095.029354500002</v>
      </c>
      <c r="AA26" s="1">
        <f>C38</f>
        <v>16.75</v>
      </c>
      <c r="AB26" s="185">
        <f>C39</f>
        <v>19.52</v>
      </c>
      <c r="AC26" s="149">
        <v>30600</v>
      </c>
      <c r="AD26" s="193">
        <f t="shared" si="5"/>
        <v>48903.665400000005</v>
      </c>
      <c r="AE26" s="193">
        <f t="shared" si="6"/>
        <v>4075.3054500000003</v>
      </c>
      <c r="AF26" s="193">
        <f t="shared" si="7"/>
        <v>9545.9954860800008</v>
      </c>
      <c r="AG26" s="193">
        <f t="shared" si="8"/>
        <v>58449.660886080004</v>
      </c>
    </row>
    <row r="27" spans="1:33" ht="17" thickBot="1">
      <c r="A27" s="176">
        <v>48</v>
      </c>
      <c r="B27" s="206">
        <v>538025</v>
      </c>
      <c r="C27" s="207">
        <v>538025</v>
      </c>
      <c r="D27" s="207">
        <v>538025</v>
      </c>
      <c r="E27" s="207">
        <v>538025</v>
      </c>
      <c r="F27" s="208">
        <v>538025</v>
      </c>
      <c r="G27" s="178"/>
      <c r="H27" s="179">
        <v>48</v>
      </c>
      <c r="I27" s="212">
        <v>44835.416666666664</v>
      </c>
      <c r="J27" s="213">
        <v>44835.416666666664</v>
      </c>
      <c r="K27" s="213">
        <v>44835.416666666664</v>
      </c>
      <c r="L27" s="213">
        <v>44835.416666666664</v>
      </c>
      <c r="M27" s="213">
        <v>44835.416666666664</v>
      </c>
      <c r="N27" s="181"/>
      <c r="O27" s="179">
        <v>48</v>
      </c>
      <c r="P27" s="216">
        <v>538025</v>
      </c>
      <c r="Q27" s="217">
        <v>538025</v>
      </c>
      <c r="R27" s="217">
        <v>538025</v>
      </c>
      <c r="S27" s="217">
        <v>538025</v>
      </c>
      <c r="T27" s="218">
        <v>538025</v>
      </c>
      <c r="U27">
        <f>C37</f>
        <v>1.5981590000000001</v>
      </c>
      <c r="V27" s="90">
        <v>41000</v>
      </c>
      <c r="W27" s="193">
        <f t="shared" si="1"/>
        <v>65524.519000000008</v>
      </c>
      <c r="X27" s="193">
        <f t="shared" si="2"/>
        <v>5460.3765833333337</v>
      </c>
      <c r="Y27" s="193">
        <f t="shared" si="3"/>
        <v>10975.356932500001</v>
      </c>
      <c r="Z27" s="193">
        <f t="shared" si="4"/>
        <v>76499.875932500014</v>
      </c>
      <c r="AA27" s="1">
        <f>C38</f>
        <v>16.75</v>
      </c>
      <c r="AB27" s="1">
        <f>C39</f>
        <v>19.52</v>
      </c>
      <c r="AC27" s="90">
        <v>41000</v>
      </c>
      <c r="AD27" s="193">
        <f t="shared" si="5"/>
        <v>65524.519000000008</v>
      </c>
      <c r="AE27" s="193">
        <f t="shared" si="6"/>
        <v>5460.3765833333337</v>
      </c>
      <c r="AF27" s="193">
        <f t="shared" si="7"/>
        <v>12790.386108800001</v>
      </c>
      <c r="AG27" s="193">
        <f>AD27+AF27</f>
        <v>78314.905108800012</v>
      </c>
    </row>
    <row r="28" spans="1:33" ht="16">
      <c r="A28" s="176">
        <v>49</v>
      </c>
      <c r="B28" s="206">
        <v>574132</v>
      </c>
      <c r="C28" s="207">
        <v>574132</v>
      </c>
      <c r="D28" s="207">
        <v>574132</v>
      </c>
      <c r="E28" s="207">
        <v>574132</v>
      </c>
      <c r="F28" s="208">
        <v>574132</v>
      </c>
      <c r="G28" s="178"/>
      <c r="H28" s="179">
        <v>49</v>
      </c>
      <c r="I28" s="212">
        <v>47844.333333333336</v>
      </c>
      <c r="J28" s="213">
        <v>47844.333333333336</v>
      </c>
      <c r="K28" s="213">
        <v>47844.333333333336</v>
      </c>
      <c r="L28" s="213">
        <v>47844.333333333336</v>
      </c>
      <c r="M28" s="213">
        <v>47844.333333333336</v>
      </c>
      <c r="N28" s="181"/>
      <c r="O28" s="179">
        <v>49</v>
      </c>
      <c r="P28" s="216">
        <v>574132</v>
      </c>
      <c r="Q28" s="217">
        <v>574132</v>
      </c>
      <c r="R28" s="217">
        <v>574132</v>
      </c>
      <c r="S28" s="217">
        <v>574132</v>
      </c>
      <c r="T28" s="218">
        <v>574132</v>
      </c>
      <c r="AG28" s="180"/>
    </row>
    <row r="29" spans="1:33" ht="16">
      <c r="A29" s="184">
        <v>50</v>
      </c>
      <c r="B29" s="209">
        <v>614211</v>
      </c>
      <c r="C29" s="210">
        <v>614211</v>
      </c>
      <c r="D29" s="210">
        <v>614211</v>
      </c>
      <c r="E29" s="210">
        <v>614211</v>
      </c>
      <c r="F29" s="211">
        <v>614211</v>
      </c>
      <c r="G29" s="178"/>
      <c r="H29" s="179">
        <v>50</v>
      </c>
      <c r="I29" s="214">
        <v>51184.25</v>
      </c>
      <c r="J29" s="215">
        <v>51184.25</v>
      </c>
      <c r="K29" s="215">
        <v>51184.25</v>
      </c>
      <c r="L29" s="215">
        <v>51184.25</v>
      </c>
      <c r="M29" s="215">
        <v>51184.25</v>
      </c>
      <c r="N29" s="181"/>
      <c r="O29" s="179">
        <v>50</v>
      </c>
      <c r="P29" s="219">
        <v>628698</v>
      </c>
      <c r="Q29" s="220">
        <v>628698</v>
      </c>
      <c r="R29" s="220">
        <v>628698</v>
      </c>
      <c r="S29" s="220">
        <v>628698</v>
      </c>
      <c r="T29" s="221">
        <v>628698</v>
      </c>
      <c r="AG29" s="180"/>
    </row>
    <row r="30" spans="1:33" ht="16">
      <c r="A30" s="176">
        <v>51</v>
      </c>
      <c r="B30" s="206">
        <v>678441</v>
      </c>
      <c r="C30" s="207">
        <v>678441</v>
      </c>
      <c r="D30" s="207">
        <v>678441</v>
      </c>
      <c r="E30" s="207">
        <v>678441</v>
      </c>
      <c r="F30" s="208">
        <v>678441</v>
      </c>
      <c r="G30" s="178"/>
      <c r="H30" s="179">
        <v>51</v>
      </c>
      <c r="I30" s="212">
        <v>56536.75</v>
      </c>
      <c r="J30" s="213">
        <v>56536.75</v>
      </c>
      <c r="K30" s="213">
        <v>56536.75</v>
      </c>
      <c r="L30" s="213">
        <v>56536.75</v>
      </c>
      <c r="M30" s="213">
        <v>56536.75</v>
      </c>
      <c r="N30" s="181"/>
      <c r="O30" s="179">
        <v>51</v>
      </c>
      <c r="P30" s="216">
        <v>696703</v>
      </c>
      <c r="Q30" s="217">
        <v>696703</v>
      </c>
      <c r="R30" s="217">
        <v>696703</v>
      </c>
      <c r="S30" s="217">
        <v>696703</v>
      </c>
      <c r="T30" s="218">
        <v>696703</v>
      </c>
      <c r="AG30" s="180"/>
    </row>
    <row r="31" spans="1:33" ht="16">
      <c r="A31" s="176">
        <v>52</v>
      </c>
      <c r="B31" s="206">
        <v>771981</v>
      </c>
      <c r="C31" s="207">
        <v>771981</v>
      </c>
      <c r="D31" s="207">
        <v>771981</v>
      </c>
      <c r="E31" s="207">
        <v>771981</v>
      </c>
      <c r="F31" s="208">
        <v>771981</v>
      </c>
      <c r="G31" s="178"/>
      <c r="H31" s="179">
        <v>52</v>
      </c>
      <c r="I31" s="212">
        <v>64331.75</v>
      </c>
      <c r="J31" s="213">
        <v>64331.75</v>
      </c>
      <c r="K31" s="213">
        <v>64331.75</v>
      </c>
      <c r="L31" s="213">
        <v>64331.75</v>
      </c>
      <c r="M31" s="213">
        <v>64331.75</v>
      </c>
      <c r="N31" s="181"/>
      <c r="O31" s="179">
        <v>52</v>
      </c>
      <c r="P31" s="216">
        <v>793472</v>
      </c>
      <c r="Q31" s="217">
        <v>793472</v>
      </c>
      <c r="R31" s="217">
        <v>793472</v>
      </c>
      <c r="S31" s="217">
        <v>793472</v>
      </c>
      <c r="T31" s="218">
        <v>793472</v>
      </c>
      <c r="AG31" s="180"/>
    </row>
    <row r="32" spans="1:33" ht="16">
      <c r="A32" s="176">
        <v>53</v>
      </c>
      <c r="B32" s="206">
        <v>847606</v>
      </c>
      <c r="C32" s="207">
        <v>847606</v>
      </c>
      <c r="D32" s="207">
        <v>847606</v>
      </c>
      <c r="E32" s="207">
        <v>847606</v>
      </c>
      <c r="F32" s="208">
        <v>847606</v>
      </c>
      <c r="G32" s="178"/>
      <c r="H32" s="179">
        <v>53</v>
      </c>
      <c r="I32" s="212">
        <v>70633.833333333328</v>
      </c>
      <c r="J32" s="213">
        <v>70633.833333333328</v>
      </c>
      <c r="K32" s="213">
        <v>70633.833333333328</v>
      </c>
      <c r="L32" s="213">
        <v>70633.833333333328</v>
      </c>
      <c r="M32" s="213">
        <v>70633.833333333328</v>
      </c>
      <c r="N32" s="181"/>
      <c r="O32" s="179">
        <v>53</v>
      </c>
      <c r="P32" s="216">
        <v>883266</v>
      </c>
      <c r="Q32" s="217">
        <v>883266</v>
      </c>
      <c r="R32" s="217">
        <v>883266</v>
      </c>
      <c r="S32" s="217">
        <v>883266</v>
      </c>
      <c r="T32" s="218">
        <v>883266</v>
      </c>
      <c r="AG32" s="180"/>
    </row>
    <row r="33" spans="1:33" ht="16">
      <c r="A33" s="176">
        <v>54</v>
      </c>
      <c r="B33" s="206">
        <v>948426</v>
      </c>
      <c r="C33" s="207">
        <v>948426</v>
      </c>
      <c r="D33" s="207">
        <v>948426</v>
      </c>
      <c r="E33" s="207">
        <v>948426</v>
      </c>
      <c r="F33" s="208">
        <v>948426</v>
      </c>
      <c r="G33" s="178"/>
      <c r="H33" s="179">
        <v>54</v>
      </c>
      <c r="I33" s="212">
        <v>79035.5</v>
      </c>
      <c r="J33" s="213">
        <v>79035.5</v>
      </c>
      <c r="K33" s="213">
        <v>79035.5</v>
      </c>
      <c r="L33" s="213">
        <v>79035.5</v>
      </c>
      <c r="M33" s="213">
        <v>79035.5</v>
      </c>
      <c r="N33" s="181"/>
      <c r="O33" s="179">
        <v>54</v>
      </c>
      <c r="P33" s="216">
        <v>995180</v>
      </c>
      <c r="Q33" s="217">
        <v>995180</v>
      </c>
      <c r="R33" s="217">
        <v>995180</v>
      </c>
      <c r="S33" s="217">
        <v>995180</v>
      </c>
      <c r="T33" s="218">
        <v>995180</v>
      </c>
      <c r="AG33" s="180"/>
    </row>
    <row r="34" spans="1:33" ht="16">
      <c r="A34" s="184">
        <v>55</v>
      </c>
      <c r="B34" s="209">
        <v>1069613</v>
      </c>
      <c r="C34" s="210">
        <v>1069613</v>
      </c>
      <c r="D34" s="210">
        <v>1069613</v>
      </c>
      <c r="E34" s="210">
        <v>1069613</v>
      </c>
      <c r="F34" s="211">
        <v>1069613</v>
      </c>
      <c r="G34" s="178"/>
      <c r="H34" s="179">
        <v>55</v>
      </c>
      <c r="I34" s="214">
        <v>89134.416666666672</v>
      </c>
      <c r="J34" s="215">
        <v>89134.416666666672</v>
      </c>
      <c r="K34" s="215">
        <v>89134.416666666672</v>
      </c>
      <c r="L34" s="215">
        <v>89134.416666666672</v>
      </c>
      <c r="M34" s="215">
        <v>89134.416666666672</v>
      </c>
      <c r="N34" s="181"/>
      <c r="O34" s="179">
        <v>55</v>
      </c>
      <c r="P34" s="219">
        <v>1116367</v>
      </c>
      <c r="Q34" s="220">
        <v>1116367</v>
      </c>
      <c r="R34" s="220">
        <v>1116367</v>
      </c>
      <c r="S34" s="220">
        <v>1116367</v>
      </c>
      <c r="T34" s="221">
        <v>1116367</v>
      </c>
      <c r="AG34" s="180"/>
    </row>
    <row r="35" spans="1:33" ht="16">
      <c r="A35" s="186" t="s">
        <v>13</v>
      </c>
      <c r="B35" s="209">
        <v>1205506</v>
      </c>
      <c r="C35" s="210">
        <v>1205506</v>
      </c>
      <c r="D35" s="210">
        <v>1205506</v>
      </c>
      <c r="E35" s="210">
        <v>1205506</v>
      </c>
      <c r="F35" s="211">
        <v>1205506</v>
      </c>
      <c r="G35" s="178"/>
      <c r="H35" s="187" t="s">
        <v>13</v>
      </c>
      <c r="I35" s="214">
        <v>100458.83333333333</v>
      </c>
      <c r="J35" s="215">
        <v>100458.83333333333</v>
      </c>
      <c r="K35" s="215">
        <v>100458.83333333333</v>
      </c>
      <c r="L35" s="215">
        <v>100458.83333333333</v>
      </c>
      <c r="M35" s="215">
        <v>100458.83333333333</v>
      </c>
      <c r="N35" s="181"/>
      <c r="O35" s="188" t="s">
        <v>13</v>
      </c>
      <c r="P35" s="219">
        <v>1252263</v>
      </c>
      <c r="Q35" s="220">
        <v>1252263</v>
      </c>
      <c r="R35" s="220">
        <v>1252263</v>
      </c>
      <c r="S35" s="220">
        <v>1252263</v>
      </c>
      <c r="T35" s="221">
        <v>1252263</v>
      </c>
      <c r="AG35" s="180"/>
    </row>
    <row r="36" spans="1:33">
      <c r="A36" s="1"/>
      <c r="B36" s="1"/>
      <c r="C36" s="1"/>
      <c r="D36" s="1"/>
      <c r="E36" s="1"/>
      <c r="F36" s="1"/>
      <c r="G36" s="1"/>
      <c r="H36" s="1"/>
      <c r="I36" s="1"/>
      <c r="J36" s="1"/>
      <c r="K36" s="1"/>
      <c r="L36" s="1"/>
      <c r="M36" s="1"/>
      <c r="N36" s="1"/>
      <c r="O36" s="1"/>
      <c r="P36" s="1"/>
      <c r="Q36" s="1"/>
      <c r="R36" s="1"/>
    </row>
    <row r="37" spans="1:33">
      <c r="A37" s="1"/>
      <c r="B37" s="189" t="s">
        <v>14</v>
      </c>
      <c r="C37" s="205">
        <v>1.5981590000000001</v>
      </c>
      <c r="D37" s="1"/>
      <c r="E37" s="591" t="s">
        <v>253</v>
      </c>
      <c r="F37" s="591"/>
      <c r="G37" s="190">
        <v>54</v>
      </c>
      <c r="H37" s="1"/>
      <c r="I37" s="1"/>
      <c r="J37" s="1"/>
      <c r="K37" s="1"/>
      <c r="L37" s="1"/>
      <c r="M37" s="1"/>
      <c r="N37" s="1"/>
      <c r="O37" s="1"/>
      <c r="P37" s="1"/>
      <c r="Q37" s="1"/>
      <c r="R37" s="1"/>
    </row>
    <row r="38" spans="1:33">
      <c r="A38" s="1"/>
      <c r="B38" s="189" t="s">
        <v>15</v>
      </c>
      <c r="C38" s="189">
        <v>16.75</v>
      </c>
      <c r="D38" s="1"/>
      <c r="E38" s="592" t="s">
        <v>254</v>
      </c>
      <c r="F38" s="592"/>
      <c r="G38" s="189">
        <v>5.82</v>
      </c>
      <c r="H38" s="1"/>
      <c r="I38" s="1"/>
      <c r="J38" s="1"/>
      <c r="K38" s="1"/>
      <c r="L38" s="1"/>
      <c r="M38" s="1"/>
      <c r="N38" s="1"/>
      <c r="O38" s="1"/>
      <c r="P38" s="1"/>
      <c r="Q38" s="1"/>
      <c r="R38" s="1"/>
    </row>
    <row r="39" spans="1:33">
      <c r="A39" s="1"/>
      <c r="B39" s="189" t="s">
        <v>16</v>
      </c>
      <c r="C39" s="189">
        <v>19.52</v>
      </c>
      <c r="D39" s="1"/>
      <c r="E39" s="591" t="s">
        <v>255</v>
      </c>
      <c r="F39" s="591"/>
      <c r="G39" s="189">
        <v>127.33</v>
      </c>
      <c r="H39" s="1"/>
      <c r="I39" s="1"/>
      <c r="J39" s="1"/>
      <c r="K39" s="1"/>
      <c r="L39" s="1"/>
      <c r="M39" s="1"/>
      <c r="N39" s="1"/>
      <c r="O39" s="1"/>
      <c r="P39" s="1"/>
      <c r="Q39" s="1"/>
      <c r="R39" s="1"/>
    </row>
    <row r="40" spans="1:33">
      <c r="A40" s="1"/>
      <c r="B40" s="189" t="s">
        <v>167</v>
      </c>
      <c r="C40" s="189">
        <v>2.23</v>
      </c>
      <c r="D40" s="1"/>
      <c r="E40" s="189" t="s">
        <v>256</v>
      </c>
      <c r="F40" s="189"/>
      <c r="G40" s="190">
        <v>289.62</v>
      </c>
      <c r="H40" s="1"/>
      <c r="I40" s="1"/>
      <c r="J40" s="1"/>
      <c r="K40" s="1"/>
      <c r="L40" s="1"/>
      <c r="M40" s="1"/>
      <c r="N40" s="1"/>
      <c r="O40" s="1"/>
      <c r="P40" s="1"/>
      <c r="Q40" s="1"/>
      <c r="R40" s="1"/>
    </row>
    <row r="41" spans="1:33">
      <c r="A41" s="1"/>
      <c r="B41" s="189" t="s">
        <v>168</v>
      </c>
      <c r="C41" s="189">
        <v>3.81</v>
      </c>
      <c r="D41" s="1"/>
      <c r="E41" s="189"/>
      <c r="F41" s="189"/>
      <c r="G41" s="189"/>
      <c r="H41" s="1"/>
      <c r="I41" s="1"/>
      <c r="J41" s="1"/>
      <c r="K41" s="1"/>
      <c r="L41" s="1"/>
      <c r="M41" s="1"/>
      <c r="N41" s="1"/>
      <c r="O41" s="1"/>
      <c r="P41" s="1"/>
      <c r="Q41" s="1"/>
      <c r="R41" s="1"/>
    </row>
    <row r="42" spans="1:33">
      <c r="A42" s="1"/>
      <c r="B42" s="189" t="s">
        <v>158</v>
      </c>
      <c r="C42" s="189">
        <v>41000</v>
      </c>
      <c r="D42" s="1"/>
      <c r="E42" s="189"/>
      <c r="F42" s="189"/>
      <c r="G42" s="189"/>
      <c r="H42" s="1"/>
      <c r="I42" s="1"/>
      <c r="J42" s="1"/>
      <c r="K42" s="1"/>
      <c r="L42" s="1"/>
      <c r="M42" s="1"/>
      <c r="N42" s="1"/>
      <c r="O42" s="1"/>
      <c r="P42" s="1"/>
      <c r="Q42" s="1"/>
      <c r="R42" s="1"/>
    </row>
    <row r="43" spans="1:33">
      <c r="A43" s="589" t="s">
        <v>161</v>
      </c>
      <c r="B43" s="589"/>
    </row>
    <row r="44" spans="1:33">
      <c r="A44" t="s">
        <v>154</v>
      </c>
      <c r="B44">
        <v>1500</v>
      </c>
    </row>
    <row r="45" spans="1:33">
      <c r="A45" t="s">
        <v>133</v>
      </c>
      <c r="B45" s="191">
        <f>Musikskolelærere!C4</f>
        <v>0</v>
      </c>
      <c r="G45">
        <v>37656.75</v>
      </c>
    </row>
    <row r="46" spans="1:33">
      <c r="A46" t="s">
        <v>147</v>
      </c>
      <c r="B46" t="e">
        <f>VLOOKUP(Musikskolelærere!C4,'Skoler, stedtillæg'!A1:B98,2,FALSE)</f>
        <v>#N/A</v>
      </c>
      <c r="G46">
        <v>7777.08</v>
      </c>
    </row>
    <row r="47" spans="1:33">
      <c r="A47" t="s">
        <v>148</v>
      </c>
      <c r="B47">
        <f>Musikskolelærere!C6</f>
        <v>0</v>
      </c>
      <c r="G47">
        <v>2415.08</v>
      </c>
    </row>
    <row r="48" spans="1:33">
      <c r="G48">
        <f>SUM(G45:G47)</f>
        <v>47848.91</v>
      </c>
    </row>
    <row r="49" spans="1:2">
      <c r="A49" t="s">
        <v>159</v>
      </c>
      <c r="B49" s="11" t="e" cm="1">
        <f t="array" ref="B49">_xlfn.XLOOKUP(B46,B6:F6,_xlfn.XLOOKUP(B47,A7:A35,B7:F35))</f>
        <v>#N/A</v>
      </c>
    </row>
    <row r="50" spans="1:2">
      <c r="A50" t="s">
        <v>165</v>
      </c>
      <c r="B50" s="11" t="e" cm="1">
        <f t="array" ref="B50">_xlfn.XLOOKUP(B46,P6:T6,_xlfn.XLOOKUP(B47,O7:O35,P7:T35))</f>
        <v>#N/A</v>
      </c>
    </row>
    <row r="52" spans="1:2">
      <c r="A52" s="589" t="s">
        <v>162</v>
      </c>
      <c r="B52" s="589"/>
    </row>
    <row r="53" spans="1:2">
      <c r="A53" t="s">
        <v>133</v>
      </c>
      <c r="B53" s="191">
        <f>Musikskoleledere_mellemledere!C4</f>
        <v>0</v>
      </c>
    </row>
    <row r="54" spans="1:2">
      <c r="A54" t="s">
        <v>163</v>
      </c>
      <c r="B54" s="191" t="e">
        <f>VLOOKUP(Musikskoleledere_mellemledere!C4,'Skoler, stedtillæg'!A1:B98,2,FALSE)</f>
        <v>#N/A</v>
      </c>
    </row>
    <row r="55" spans="1:2">
      <c r="A55" t="s">
        <v>148</v>
      </c>
      <c r="B55" s="191">
        <f>Musikskoleledere_mellemledere!C6</f>
        <v>0</v>
      </c>
    </row>
    <row r="56" spans="1:2">
      <c r="A56" t="s">
        <v>154</v>
      </c>
      <c r="B56" s="191">
        <v>3600</v>
      </c>
    </row>
    <row r="57" spans="1:2">
      <c r="B57" s="191"/>
    </row>
    <row r="58" spans="1:2">
      <c r="B58" s="191"/>
    </row>
    <row r="59" spans="1:2">
      <c r="A59" t="s">
        <v>160</v>
      </c>
      <c r="B59" s="191" t="e" cm="1">
        <f t="array" ref="B59">_xlfn.XLOOKUP(B54,B6:F6,_xlfn.XLOOKUP(B55,A7:A35,B7:F35))</f>
        <v>#N/A</v>
      </c>
    </row>
    <row r="60" spans="1:2">
      <c r="A60" t="s">
        <v>166</v>
      </c>
      <c r="B60" t="e" cm="1">
        <f t="array" ref="B60">_xlfn.XLOOKUP(B54,P6:T6,_xlfn.XLOOKUP(B55,O7:O35,P7:T35))</f>
        <v>#N/A</v>
      </c>
    </row>
    <row r="62" spans="1:2">
      <c r="B62" t="s">
        <v>151</v>
      </c>
    </row>
    <row r="63" spans="1:2">
      <c r="B63" t="s">
        <v>152</v>
      </c>
    </row>
    <row r="1048576" spans="27:28">
      <c r="AA1048576" s="1"/>
      <c r="AB1048576" s="189"/>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baseColWidth="10" defaultColWidth="8.83203125" defaultRowHeight="15"/>
  <cols>
    <col min="1" max="1" width="17" customWidth="1"/>
  </cols>
  <sheetData>
    <row r="1" spans="1:2" ht="16" thickBot="1">
      <c r="A1" s="3" t="s">
        <v>35</v>
      </c>
      <c r="B1" s="4">
        <v>4</v>
      </c>
    </row>
    <row r="2" spans="1:2" ht="16" thickBot="1">
      <c r="A2" s="3" t="s">
        <v>36</v>
      </c>
      <c r="B2" s="4">
        <v>3</v>
      </c>
    </row>
    <row r="3" spans="1:2" ht="16" thickBot="1">
      <c r="A3" s="3" t="s">
        <v>92</v>
      </c>
      <c r="B3" s="4">
        <v>0</v>
      </c>
    </row>
    <row r="4" spans="1:2" ht="16" thickBot="1">
      <c r="A4" s="3" t="s">
        <v>37</v>
      </c>
      <c r="B4" s="4">
        <v>4</v>
      </c>
    </row>
    <row r="5" spans="1:2" ht="16" thickBot="1">
      <c r="A5" s="3" t="s">
        <v>93</v>
      </c>
      <c r="B5" s="4">
        <v>0</v>
      </c>
    </row>
    <row r="6" spans="1:2" ht="16" thickBot="1">
      <c r="A6" s="3" t="s">
        <v>94</v>
      </c>
      <c r="B6" s="4">
        <v>0</v>
      </c>
    </row>
    <row r="7" spans="1:2" ht="16" thickBot="1">
      <c r="A7" s="3" t="s">
        <v>38</v>
      </c>
      <c r="B7" s="4">
        <v>0</v>
      </c>
    </row>
    <row r="8" spans="1:2" ht="16" thickBot="1">
      <c r="A8" s="3" t="s">
        <v>39</v>
      </c>
      <c r="B8" s="4">
        <v>4</v>
      </c>
    </row>
    <row r="9" spans="1:2" ht="16" thickBot="1">
      <c r="A9" s="3" t="s">
        <v>81</v>
      </c>
      <c r="B9" s="4">
        <v>0</v>
      </c>
    </row>
    <row r="10" spans="1:2" ht="16" thickBot="1">
      <c r="A10" s="3" t="s">
        <v>40</v>
      </c>
      <c r="B10" s="4">
        <v>4</v>
      </c>
    </row>
    <row r="11" spans="1:2" ht="16" thickBot="1">
      <c r="A11" s="3" t="s">
        <v>41</v>
      </c>
      <c r="B11" s="4">
        <v>4</v>
      </c>
    </row>
    <row r="12" spans="1:2" ht="16" thickBot="1">
      <c r="A12" s="3" t="s">
        <v>95</v>
      </c>
      <c r="B12" s="4">
        <v>1</v>
      </c>
    </row>
    <row r="13" spans="1:2" ht="16" thickBot="1">
      <c r="A13" s="3" t="s">
        <v>96</v>
      </c>
      <c r="B13" s="4">
        <v>0</v>
      </c>
    </row>
    <row r="14" spans="1:2" ht="16" thickBot="1">
      <c r="A14" s="3" t="s">
        <v>114</v>
      </c>
      <c r="B14" s="4">
        <v>0</v>
      </c>
    </row>
    <row r="15" spans="1:2" ht="16" thickBot="1">
      <c r="A15" s="3" t="s">
        <v>65</v>
      </c>
      <c r="B15" s="4">
        <v>0</v>
      </c>
    </row>
    <row r="16" spans="1:2" ht="16" thickBot="1">
      <c r="A16" s="3" t="s">
        <v>42</v>
      </c>
      <c r="B16" s="4">
        <v>3</v>
      </c>
    </row>
    <row r="17" spans="1:2" ht="16" thickBot="1">
      <c r="A17" s="3" t="s">
        <v>97</v>
      </c>
      <c r="B17" s="4">
        <v>0</v>
      </c>
    </row>
    <row r="18" spans="1:2" ht="16" thickBot="1">
      <c r="A18" s="9" t="s">
        <v>43</v>
      </c>
      <c r="B18" s="4">
        <v>4</v>
      </c>
    </row>
    <row r="19" spans="1:2" ht="16" thickBot="1">
      <c r="A19" s="3" t="s">
        <v>82</v>
      </c>
      <c r="B19" s="4">
        <v>1</v>
      </c>
    </row>
    <row r="20" spans="1:2" ht="16" thickBot="1">
      <c r="A20" s="9" t="s">
        <v>44</v>
      </c>
      <c r="B20" s="4">
        <v>3</v>
      </c>
    </row>
    <row r="21" spans="1:2" ht="16" thickBot="1">
      <c r="A21" s="3" t="s">
        <v>46</v>
      </c>
      <c r="B21" s="4">
        <v>4</v>
      </c>
    </row>
    <row r="22" spans="1:2" ht="16" thickBot="1">
      <c r="A22" s="3" t="s">
        <v>98</v>
      </c>
      <c r="B22" s="4">
        <v>1</v>
      </c>
    </row>
    <row r="23" spans="1:2" ht="16" thickBot="1">
      <c r="A23" s="3" t="s">
        <v>47</v>
      </c>
      <c r="B23" s="4">
        <v>4</v>
      </c>
    </row>
    <row r="24" spans="1:2" ht="16" thickBot="1">
      <c r="A24" s="3" t="s">
        <v>48</v>
      </c>
      <c r="B24" s="4">
        <v>4</v>
      </c>
    </row>
    <row r="25" spans="1:2" ht="16" thickBot="1">
      <c r="A25" s="3" t="s">
        <v>49</v>
      </c>
      <c r="B25" s="4">
        <v>4</v>
      </c>
    </row>
    <row r="26" spans="1:2" ht="16" thickBot="1">
      <c r="A26" s="3" t="s">
        <v>50</v>
      </c>
      <c r="B26" s="4">
        <v>4</v>
      </c>
    </row>
    <row r="27" spans="1:2" ht="16" thickBot="1">
      <c r="A27" s="3" t="s">
        <v>51</v>
      </c>
      <c r="B27" s="4">
        <v>3</v>
      </c>
    </row>
    <row r="28" spans="1:2" ht="16" thickBot="1">
      <c r="A28" s="9" t="s">
        <v>66</v>
      </c>
      <c r="B28" s="4">
        <v>0</v>
      </c>
    </row>
    <row r="29" spans="1:2" ht="16" thickBot="1">
      <c r="A29" s="3" t="s">
        <v>99</v>
      </c>
      <c r="B29" s="4">
        <v>0</v>
      </c>
    </row>
    <row r="30" spans="1:2" ht="16" thickBot="1">
      <c r="A30" s="3" t="s">
        <v>45</v>
      </c>
      <c r="B30" s="4">
        <v>3</v>
      </c>
    </row>
    <row r="31" spans="1:2" ht="16" thickBot="1">
      <c r="A31" s="5" t="s">
        <v>115</v>
      </c>
      <c r="B31" s="4">
        <v>0</v>
      </c>
    </row>
    <row r="32" spans="1:2" ht="16" thickBot="1">
      <c r="A32" s="5" t="s">
        <v>52</v>
      </c>
      <c r="B32" s="4">
        <v>3</v>
      </c>
    </row>
    <row r="33" spans="1:2" ht="16" thickBot="1">
      <c r="A33" s="5" t="s">
        <v>53</v>
      </c>
      <c r="B33" s="4">
        <v>4</v>
      </c>
    </row>
    <row r="34" spans="1:2" ht="16" thickBot="1">
      <c r="A34" s="5" t="s">
        <v>116</v>
      </c>
      <c r="B34" s="4">
        <v>0</v>
      </c>
    </row>
    <row r="35" spans="1:2" ht="16" thickBot="1">
      <c r="A35" s="5" t="s">
        <v>54</v>
      </c>
      <c r="B35" s="4">
        <v>3</v>
      </c>
    </row>
    <row r="36" spans="1:2" ht="16" thickBot="1">
      <c r="A36" s="5" t="s">
        <v>83</v>
      </c>
      <c r="B36" s="4">
        <v>0</v>
      </c>
    </row>
    <row r="37" spans="1:2" ht="16" thickBot="1">
      <c r="A37" s="5" t="s">
        <v>67</v>
      </c>
      <c r="B37" s="4">
        <v>0</v>
      </c>
    </row>
    <row r="38" spans="1:2" ht="16" thickBot="1">
      <c r="A38" s="5" t="s">
        <v>117</v>
      </c>
      <c r="B38" s="4">
        <v>0</v>
      </c>
    </row>
    <row r="39" spans="1:2" ht="16" thickBot="1">
      <c r="A39" s="5" t="s">
        <v>118</v>
      </c>
      <c r="B39" s="4">
        <v>0</v>
      </c>
    </row>
    <row r="40" spans="1:2" ht="16" thickBot="1">
      <c r="A40" s="5" t="s">
        <v>55</v>
      </c>
      <c r="B40" s="4">
        <v>4</v>
      </c>
    </row>
    <row r="41" spans="1:2" ht="16" thickBot="1">
      <c r="A41" s="10" t="s">
        <v>56</v>
      </c>
      <c r="B41" s="4">
        <v>4</v>
      </c>
    </row>
    <row r="42" spans="1:2" ht="16" thickBot="1">
      <c r="A42" s="5" t="s">
        <v>57</v>
      </c>
      <c r="B42" s="4">
        <v>3</v>
      </c>
    </row>
    <row r="43" spans="1:2" ht="16" thickBot="1">
      <c r="A43" s="5" t="s">
        <v>119</v>
      </c>
      <c r="B43" s="4">
        <v>0</v>
      </c>
    </row>
    <row r="44" spans="1:2" ht="16" thickBot="1">
      <c r="A44" s="5" t="s">
        <v>58</v>
      </c>
      <c r="B44" s="4">
        <v>4</v>
      </c>
    </row>
    <row r="45" spans="1:2" ht="16" thickBot="1">
      <c r="A45" s="5" t="s">
        <v>84</v>
      </c>
      <c r="B45" s="4">
        <v>0</v>
      </c>
    </row>
    <row r="46" spans="1:2" ht="16" thickBot="1">
      <c r="A46" s="5" t="s">
        <v>68</v>
      </c>
      <c r="B46" s="4">
        <v>1</v>
      </c>
    </row>
    <row r="47" spans="1:2" ht="16" thickBot="1">
      <c r="A47" s="5" t="s">
        <v>100</v>
      </c>
      <c r="B47" s="4">
        <v>1</v>
      </c>
    </row>
    <row r="48" spans="1:2" ht="16" thickBot="1">
      <c r="A48" s="5" t="s">
        <v>101</v>
      </c>
      <c r="B48" s="4">
        <v>0</v>
      </c>
    </row>
    <row r="49" spans="1:2" ht="16" thickBot="1">
      <c r="A49" s="5" t="s">
        <v>59</v>
      </c>
      <c r="B49" s="4">
        <v>4</v>
      </c>
    </row>
    <row r="50" spans="1:2" ht="16" thickBot="1">
      <c r="A50" s="5" t="s">
        <v>69</v>
      </c>
      <c r="B50" s="4">
        <v>2</v>
      </c>
    </row>
    <row r="51" spans="1:2" ht="16" thickBot="1">
      <c r="A51" s="5" t="s">
        <v>102</v>
      </c>
      <c r="B51" s="4">
        <v>0</v>
      </c>
    </row>
    <row r="52" spans="1:2" ht="16" thickBot="1">
      <c r="A52" s="5" t="s">
        <v>70</v>
      </c>
      <c r="B52" s="4">
        <v>2</v>
      </c>
    </row>
    <row r="53" spans="1:2" ht="16" thickBot="1">
      <c r="A53" s="5" t="s">
        <v>120</v>
      </c>
      <c r="B53" s="4">
        <v>0</v>
      </c>
    </row>
    <row r="54" spans="1:2" ht="16" thickBot="1">
      <c r="A54" s="5" t="s">
        <v>71</v>
      </c>
      <c r="B54" s="4">
        <v>0</v>
      </c>
    </row>
    <row r="55" spans="1:2" ht="16" thickBot="1">
      <c r="A55" s="5" t="s">
        <v>60</v>
      </c>
      <c r="B55" s="4">
        <v>4</v>
      </c>
    </row>
    <row r="56" spans="1:2" ht="16" thickBot="1">
      <c r="A56" s="5" t="s">
        <v>85</v>
      </c>
      <c r="B56" s="4">
        <v>0</v>
      </c>
    </row>
    <row r="57" spans="1:2" ht="16" thickBot="1">
      <c r="A57" s="10" t="s">
        <v>86</v>
      </c>
      <c r="B57" s="4">
        <v>0</v>
      </c>
    </row>
    <row r="58" spans="1:2" ht="16" thickBot="1">
      <c r="A58" s="5" t="s">
        <v>103</v>
      </c>
      <c r="B58" s="4">
        <v>0</v>
      </c>
    </row>
    <row r="59" spans="1:2" ht="16" thickBot="1">
      <c r="A59" s="5" t="s">
        <v>87</v>
      </c>
      <c r="B59" s="4">
        <v>0</v>
      </c>
    </row>
    <row r="60" spans="1:2" ht="16" thickBot="1">
      <c r="A60" s="5" t="s">
        <v>121</v>
      </c>
      <c r="B60" s="4">
        <v>0</v>
      </c>
    </row>
    <row r="61" spans="1:2" ht="16" thickBot="1">
      <c r="A61" s="5" t="s">
        <v>104</v>
      </c>
      <c r="B61" s="4">
        <v>1</v>
      </c>
    </row>
    <row r="62" spans="1:2" ht="16" thickBot="1">
      <c r="A62" s="5" t="s">
        <v>72</v>
      </c>
      <c r="B62" s="4">
        <v>1</v>
      </c>
    </row>
    <row r="63" spans="1:2" ht="16" thickBot="1">
      <c r="A63" s="5" t="s">
        <v>122</v>
      </c>
      <c r="B63" s="4">
        <v>0</v>
      </c>
    </row>
    <row r="64" spans="1:2" ht="16" thickBot="1">
      <c r="A64" s="5" t="s">
        <v>105</v>
      </c>
      <c r="B64" s="4">
        <v>1</v>
      </c>
    </row>
    <row r="65" spans="1:2" ht="16" thickBot="1">
      <c r="A65" s="5" t="s">
        <v>73</v>
      </c>
      <c r="B65" s="4">
        <v>0</v>
      </c>
    </row>
    <row r="66" spans="1:2" ht="16" thickBot="1">
      <c r="A66" s="5" t="s">
        <v>123</v>
      </c>
      <c r="B66" s="4">
        <v>0</v>
      </c>
    </row>
    <row r="67" spans="1:2" ht="16" thickBot="1">
      <c r="A67" s="5" t="s">
        <v>88</v>
      </c>
      <c r="B67" s="4">
        <v>0</v>
      </c>
    </row>
    <row r="68" spans="1:2" ht="16" thickBot="1">
      <c r="A68" s="10" t="s">
        <v>124</v>
      </c>
      <c r="B68" s="4">
        <v>0</v>
      </c>
    </row>
    <row r="69" spans="1:2" ht="16" thickBot="1">
      <c r="A69" s="5" t="s">
        <v>74</v>
      </c>
      <c r="B69" s="4">
        <v>0</v>
      </c>
    </row>
    <row r="70" spans="1:2" ht="16" thickBot="1">
      <c r="A70" s="5" t="s">
        <v>75</v>
      </c>
      <c r="B70" s="4">
        <v>2</v>
      </c>
    </row>
    <row r="71" spans="1:2" ht="16" thickBot="1">
      <c r="A71" s="5" t="s">
        <v>61</v>
      </c>
      <c r="B71" s="4">
        <v>4</v>
      </c>
    </row>
    <row r="72" spans="1:2" ht="16" thickBot="1">
      <c r="A72" s="5" t="s">
        <v>62</v>
      </c>
      <c r="B72" s="4">
        <v>4</v>
      </c>
    </row>
    <row r="73" spans="1:2" ht="16" thickBot="1">
      <c r="A73" s="5" t="s">
        <v>125</v>
      </c>
      <c r="B73" s="4">
        <v>0</v>
      </c>
    </row>
    <row r="74" spans="1:2" ht="16" thickBot="1">
      <c r="A74" s="5" t="s">
        <v>126</v>
      </c>
      <c r="B74" s="4">
        <v>0</v>
      </c>
    </row>
    <row r="75" spans="1:2" ht="16" thickBot="1">
      <c r="A75" s="5" t="s">
        <v>127</v>
      </c>
      <c r="B75" s="4">
        <v>1</v>
      </c>
    </row>
    <row r="76" spans="1:2" ht="16" thickBot="1">
      <c r="A76" s="5" t="s">
        <v>128</v>
      </c>
      <c r="B76" s="4">
        <v>0</v>
      </c>
    </row>
    <row r="77" spans="1:2" ht="16" thickBot="1">
      <c r="A77" s="5" t="s">
        <v>76</v>
      </c>
      <c r="B77" s="4">
        <v>1</v>
      </c>
    </row>
    <row r="78" spans="1:2" ht="16" thickBot="1">
      <c r="A78" s="5" t="s">
        <v>77</v>
      </c>
      <c r="B78" s="4">
        <v>2</v>
      </c>
    </row>
    <row r="79" spans="1:2" ht="16" thickBot="1">
      <c r="A79" s="5" t="s">
        <v>78</v>
      </c>
      <c r="B79" s="4">
        <v>0</v>
      </c>
    </row>
    <row r="80" spans="1:2" ht="16" thickBot="1">
      <c r="A80" s="5" t="s">
        <v>79</v>
      </c>
      <c r="B80" s="4">
        <v>0</v>
      </c>
    </row>
    <row r="81" spans="1:2" ht="16" thickBot="1">
      <c r="A81" s="5" t="s">
        <v>129</v>
      </c>
      <c r="B81" s="4">
        <v>0</v>
      </c>
    </row>
    <row r="82" spans="1:2" ht="16" thickBot="1">
      <c r="A82" s="5" t="s">
        <v>106</v>
      </c>
      <c r="B82" s="4">
        <v>0</v>
      </c>
    </row>
    <row r="83" spans="1:2" ht="16" thickBot="1">
      <c r="A83" s="5" t="s">
        <v>130</v>
      </c>
      <c r="B83" s="4">
        <v>0</v>
      </c>
    </row>
    <row r="84" spans="1:2" ht="16" thickBot="1">
      <c r="A84" s="5" t="s">
        <v>107</v>
      </c>
      <c r="B84" s="4">
        <v>1</v>
      </c>
    </row>
    <row r="85" spans="1:2" ht="16" thickBot="1">
      <c r="A85" s="5" t="s">
        <v>89</v>
      </c>
      <c r="B85" s="4">
        <v>0</v>
      </c>
    </row>
    <row r="86" spans="1:2" ht="16" thickBot="1">
      <c r="A86" s="5" t="s">
        <v>108</v>
      </c>
      <c r="B86" s="4">
        <v>0</v>
      </c>
    </row>
    <row r="87" spans="1:2" ht="16" thickBot="1">
      <c r="A87" s="5" t="s">
        <v>63</v>
      </c>
      <c r="B87" s="4">
        <v>4</v>
      </c>
    </row>
    <row r="88" spans="1:2" ht="16" thickBot="1">
      <c r="A88" s="5" t="s">
        <v>64</v>
      </c>
      <c r="B88" s="4">
        <v>4</v>
      </c>
    </row>
    <row r="89" spans="1:2" ht="16" thickBot="1">
      <c r="A89" s="5" t="s">
        <v>109</v>
      </c>
      <c r="B89" s="4">
        <v>0</v>
      </c>
    </row>
    <row r="90" spans="1:2" ht="16" thickBot="1">
      <c r="A90" s="5" t="s">
        <v>110</v>
      </c>
      <c r="B90" s="4">
        <v>0</v>
      </c>
    </row>
    <row r="91" spans="1:2" ht="16" thickBot="1">
      <c r="A91" s="5" t="s">
        <v>111</v>
      </c>
      <c r="B91" s="4">
        <v>0</v>
      </c>
    </row>
    <row r="92" spans="1:2" ht="16" thickBot="1">
      <c r="A92" s="10" t="s">
        <v>90</v>
      </c>
      <c r="B92" s="4">
        <v>0</v>
      </c>
    </row>
    <row r="93" spans="1:2" ht="16" thickBot="1">
      <c r="A93" s="5" t="s">
        <v>131</v>
      </c>
      <c r="B93" s="4">
        <v>0</v>
      </c>
    </row>
    <row r="94" spans="1:2" ht="16" thickBot="1">
      <c r="A94" s="5" t="s">
        <v>80</v>
      </c>
      <c r="B94" s="4">
        <v>0</v>
      </c>
    </row>
    <row r="95" spans="1:2" ht="16" thickBot="1">
      <c r="A95" s="5" t="s">
        <v>112</v>
      </c>
      <c r="B95" s="4">
        <v>0</v>
      </c>
    </row>
    <row r="96" spans="1:2" ht="16" thickBot="1">
      <c r="A96" s="6" t="s">
        <v>113</v>
      </c>
      <c r="B96" s="8">
        <v>0</v>
      </c>
    </row>
    <row r="97" spans="1:2" ht="16" thickBot="1">
      <c r="A97" s="5" t="s">
        <v>91</v>
      </c>
      <c r="B97" s="4">
        <v>1</v>
      </c>
    </row>
    <row r="98" spans="1:2" ht="16" thickBot="1">
      <c r="A98" s="5" t="s">
        <v>132</v>
      </c>
      <c r="B98" s="4">
        <v>2</v>
      </c>
    </row>
    <row r="108" spans="1:2">
      <c r="A108" s="7"/>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508013F9-17E7-4AA1-B41E-80D777775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2d4aa-6fd0-49f9-8d11-e7cf49187c63"/>
    <ds:schemaRef ds:uri="13112136-79a4-480d-9155-a523fbefd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9CEF2-72C5-42A8-A102-91549755E3DF}">
  <ds:schemaRefs>
    <ds:schemaRef ds:uri="http://schemas.openxmlformats.org/package/2006/metadata/core-properties"/>
    <ds:schemaRef ds:uri="http://schemas.microsoft.com/office/infopath/2007/PartnerControls"/>
    <ds:schemaRef ds:uri="13112136-79a4-480d-9155-a523fbefdc3e"/>
    <ds:schemaRef ds:uri="http://schemas.microsoft.com/office/2006/documentManagement/types"/>
    <ds:schemaRef ds:uri="http://purl.org/dc/terms/"/>
    <ds:schemaRef ds:uri="da72d4aa-6fd0-49f9-8d11-e7cf49187c63"/>
    <ds:schemaRef ds:uri="http://www.w3.org/XML/1998/namespace"/>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Regneopgaver Modul C</vt:lpstr>
      <vt:lpstr>Musikskoleledere_mellemledere</vt:lpstr>
      <vt:lpstr>Aktuel løntabel</vt:lpstr>
      <vt:lpstr>Aktuelle data</vt:lpstr>
      <vt:lpstr>Skoler, stedtillæg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2025-01-21T11:32:01Z</cp:lastPrinted>
  <dcterms:created xsi:type="dcterms:W3CDTF">2019-12-10T13:23:03Z</dcterms:created>
  <dcterms:modified xsi:type="dcterms:W3CDTF">2025-04-30T12:43:01Z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0x0101007FC58BAB964FCA49A87D1B661F0F8F7D</vt:lpwstr>
  </property>
  <property fmtid="{D5CDD505-2E9C-101B-9397-08002B2CF9AE}" pid="3" name="MediaServiceImageTags">
    <vt:lpwstr/>
  </property>
</Properties>
</file>