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mpf98.sharepoint.com/sites/Sagsbehandlingogarkiv/Delte dokumenter/Løntabeller mv/Det samlede skema/2024.04/Færdige skemaer til hjemmesiden/MM/"/>
    </mc:Choice>
  </mc:AlternateContent>
  <xr:revisionPtr revIDLastSave="237" documentId="13_ncr:1_{41FE9E97-0D81-4ACD-BA17-094C47B38534}" xr6:coauthVersionLast="47" xr6:coauthVersionMax="47" xr10:uidLastSave="{1F4189D5-0206-425A-A940-842BF50637FF}"/>
  <workbookProtection workbookAlgorithmName="SHA-512" workbookHashValue="h1WR2hLFMyi+O8HT36JKUe2D5dgn9Sy/d7j9fJklIm+DCMUwBBdRZnqKJ4XyzHxs5ihaARPBckAZRvhcMT53cg==" workbookSaltValue="vUw5uFSNyvBqAfiUm9hPYg==" workbookSpinCount="100000" lockStructure="1"/>
  <bookViews>
    <workbookView xWindow="-160" yWindow="-160" windowWidth="25920" windowHeight="14000" tabRatio="706" firstSheet="1" activeTab="1" xr2:uid="{B55F606D-0E9C-430D-BA0E-224558F42BE5}"/>
  </bookViews>
  <sheets>
    <sheet name="Musikskolelærere" sheetId="5" state="hidden" r:id="rId1"/>
    <sheet name="Musikskoleledere_mellemledere" sheetId="6" r:id="rId2"/>
    <sheet name="Aktuel løntabel" sheetId="9" state="hidden" r:id="rId3"/>
    <sheet name="Aktuelle data" sheetId="3" state="hidden" r:id="rId4"/>
    <sheet name="Skoler, stedtillæg" sheetId="4" state="hidden" r:id="rId5"/>
    <sheet name="KOMMUNALE LØNNINGER PR. 1. okto"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6" l="1" a="1"/>
  <c r="E25" i="6" s="1"/>
  <c r="E31" i="5" a="1"/>
  <c r="E31" i="5" s="1"/>
  <c r="AN6" i="3"/>
  <c r="AN7" i="3"/>
  <c r="AN8" i="3"/>
  <c r="AN5" i="3"/>
  <c r="C18" i="6"/>
  <c r="C17" i="6"/>
  <c r="C19" i="6"/>
  <c r="C448" i="9"/>
  <c r="C447"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22" i="9"/>
  <c r="H122" i="9"/>
  <c r="F122" i="9"/>
  <c r="D122" i="9"/>
  <c r="L85" i="9"/>
  <c r="L86" i="9"/>
  <c r="L87" i="9"/>
  <c r="L88" i="9"/>
  <c r="L89" i="9"/>
  <c r="L90" i="9"/>
  <c r="L91" i="9"/>
  <c r="L64" i="9"/>
  <c r="L65" i="9"/>
  <c r="L66" i="9"/>
  <c r="L67" i="9"/>
  <c r="L68" i="9"/>
  <c r="L69" i="9"/>
  <c r="L70" i="9"/>
  <c r="L71" i="9"/>
  <c r="L72" i="9"/>
  <c r="L73" i="9"/>
  <c r="L74" i="9"/>
  <c r="L75" i="9"/>
  <c r="L76" i="9"/>
  <c r="L77" i="9"/>
  <c r="L78" i="9"/>
  <c r="L79" i="9"/>
  <c r="L80" i="9"/>
  <c r="L81" i="9"/>
  <c r="L82" i="9"/>
  <c r="L83" i="9"/>
  <c r="L84" i="9"/>
  <c r="L63" i="9"/>
  <c r="J85" i="9"/>
  <c r="J86" i="9"/>
  <c r="J87" i="9"/>
  <c r="J88" i="9"/>
  <c r="J89" i="9"/>
  <c r="J90" i="9"/>
  <c r="J91" i="9"/>
  <c r="J64" i="9"/>
  <c r="J65" i="9"/>
  <c r="J66" i="9"/>
  <c r="J67" i="9"/>
  <c r="J68" i="9"/>
  <c r="J69" i="9"/>
  <c r="J70" i="9"/>
  <c r="J71" i="9"/>
  <c r="J72" i="9"/>
  <c r="J73" i="9"/>
  <c r="J74" i="9"/>
  <c r="J75" i="9"/>
  <c r="J76" i="9"/>
  <c r="J77" i="9"/>
  <c r="J78" i="9"/>
  <c r="J79" i="9"/>
  <c r="J80" i="9"/>
  <c r="J81" i="9"/>
  <c r="J82" i="9"/>
  <c r="J83" i="9"/>
  <c r="J84" i="9"/>
  <c r="J63" i="9"/>
  <c r="H79" i="9"/>
  <c r="H80" i="9"/>
  <c r="H81" i="9"/>
  <c r="H82" i="9"/>
  <c r="H83" i="9"/>
  <c r="H84" i="9"/>
  <c r="H85" i="9"/>
  <c r="H86" i="9"/>
  <c r="H87" i="9"/>
  <c r="H88" i="9"/>
  <c r="H89" i="9"/>
  <c r="H90" i="9"/>
  <c r="H91" i="9"/>
  <c r="H64" i="9"/>
  <c r="H65" i="9"/>
  <c r="H66" i="9"/>
  <c r="H67" i="9"/>
  <c r="H68" i="9"/>
  <c r="H69" i="9"/>
  <c r="H70" i="9"/>
  <c r="H71" i="9"/>
  <c r="H72" i="9"/>
  <c r="H73" i="9"/>
  <c r="H74" i="9"/>
  <c r="H75" i="9"/>
  <c r="H76" i="9"/>
  <c r="H77" i="9"/>
  <c r="H78" i="9"/>
  <c r="H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63" i="9"/>
  <c r="D78" i="9"/>
  <c r="D79" i="9"/>
  <c r="D80" i="9"/>
  <c r="D81" i="9"/>
  <c r="D82" i="9"/>
  <c r="D83" i="9"/>
  <c r="D84" i="9"/>
  <c r="D85" i="9"/>
  <c r="D86" i="9"/>
  <c r="D87" i="9"/>
  <c r="D88" i="9"/>
  <c r="D89" i="9"/>
  <c r="D90" i="9"/>
  <c r="D91" i="9"/>
  <c r="D64" i="9"/>
  <c r="D65" i="9"/>
  <c r="D66" i="9"/>
  <c r="D67" i="9"/>
  <c r="D68" i="9"/>
  <c r="D69" i="9"/>
  <c r="D70" i="9"/>
  <c r="D71" i="9"/>
  <c r="D72" i="9"/>
  <c r="D73" i="9"/>
  <c r="D74" i="9"/>
  <c r="D75" i="9"/>
  <c r="D76" i="9"/>
  <c r="D77" i="9"/>
  <c r="D63"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5" i="9"/>
  <c r="D7" i="9"/>
  <c r="D5" i="9"/>
  <c r="D6" i="9"/>
  <c r="D8" i="9"/>
  <c r="D9" i="9"/>
  <c r="D10" i="9"/>
  <c r="D11" i="9"/>
  <c r="D12" i="9"/>
  <c r="D13" i="9"/>
  <c r="D14" i="9"/>
  <c r="D15" i="9"/>
  <c r="D16" i="9"/>
  <c r="D17" i="9"/>
  <c r="D18" i="9"/>
  <c r="D19" i="9"/>
  <c r="D20" i="9"/>
  <c r="D21" i="9"/>
  <c r="D22" i="9"/>
  <c r="D23" i="9"/>
  <c r="D24" i="9"/>
  <c r="D25" i="9"/>
  <c r="D26" i="9"/>
  <c r="D27" i="9"/>
  <c r="D28" i="9"/>
  <c r="D29" i="9"/>
  <c r="D30" i="9"/>
  <c r="D31" i="9"/>
  <c r="D32" i="9"/>
  <c r="D33" i="9"/>
  <c r="AB27" i="3"/>
  <c r="AB26" i="3"/>
  <c r="U11" i="3"/>
  <c r="AD11" i="3" s="1"/>
  <c r="U10" i="3"/>
  <c r="AD10" i="3" s="1"/>
  <c r="U9" i="3"/>
  <c r="AD9" i="3" s="1"/>
  <c r="U8" i="3"/>
  <c r="AD8" i="3" s="1"/>
  <c r="U7" i="3"/>
  <c r="W7" i="3" s="1"/>
  <c r="U12" i="3"/>
  <c r="W12" i="3"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53" i="9"/>
  <c r="L154" i="9" s="1"/>
  <c r="L454" i="9"/>
  <c r="L455" i="9"/>
  <c r="L456" i="9"/>
  <c r="L453" i="9"/>
  <c r="J454" i="9"/>
  <c r="J455" i="9"/>
  <c r="J456" i="9"/>
  <c r="J453" i="9"/>
  <c r="G454" i="9"/>
  <c r="G455" i="9"/>
  <c r="G456" i="9"/>
  <c r="G453" i="9"/>
  <c r="W8" i="3" l="1"/>
  <c r="Y8" i="3" s="1"/>
  <c r="Z8" i="3" s="1"/>
  <c r="D337" i="9"/>
  <c r="AE9" i="3"/>
  <c r="F337" i="9" s="1"/>
  <c r="AF9" i="3"/>
  <c r="H337" i="9" s="1"/>
  <c r="AF11" i="3"/>
  <c r="H339" i="9" s="1"/>
  <c r="D339" i="9"/>
  <c r="AE11" i="3"/>
  <c r="F339" i="9" s="1"/>
  <c r="AF10" i="3"/>
  <c r="H338" i="9" s="1"/>
  <c r="D338" i="9"/>
  <c r="AE10" i="3"/>
  <c r="F338" i="9" s="1"/>
  <c r="D245" i="9"/>
  <c r="X12" i="3"/>
  <c r="Y12" i="3"/>
  <c r="Z12" i="3" s="1"/>
  <c r="D240" i="9"/>
  <c r="X7" i="3"/>
  <c r="Y7" i="3"/>
  <c r="Z7" i="3" s="1"/>
  <c r="W11" i="3"/>
  <c r="D336" i="9"/>
  <c r="W10" i="3"/>
  <c r="AF8" i="3"/>
  <c r="H336" i="9" s="1"/>
  <c r="W9" i="3"/>
  <c r="AD12" i="3"/>
  <c r="D241" i="9"/>
  <c r="AD7" i="3"/>
  <c r="AE8" i="3"/>
  <c r="F336" i="9" s="1"/>
  <c r="L304" i="9"/>
  <c r="L440" i="9"/>
  <c r="L438" i="9"/>
  <c r="L436" i="9"/>
  <c r="L435" i="9"/>
  <c r="L402" i="9"/>
  <c r="H402" i="9"/>
  <c r="F402" i="9"/>
  <c r="C401" i="9"/>
  <c r="L401" i="9"/>
  <c r="F401" i="9"/>
  <c r="L396" i="9"/>
  <c r="L390" i="9"/>
  <c r="H390" i="9"/>
  <c r="L389" i="9"/>
  <c r="J333" i="9"/>
  <c r="L329" i="9"/>
  <c r="X8" i="3" l="1"/>
  <c r="AG11" i="3"/>
  <c r="J339" i="9" s="1"/>
  <c r="AG10" i="3"/>
  <c r="J338" i="9" s="1"/>
  <c r="X11" i="3"/>
  <c r="Y11" i="3"/>
  <c r="Z11" i="3" s="1"/>
  <c r="D244" i="9"/>
  <c r="AF7" i="3"/>
  <c r="H335" i="9" s="1"/>
  <c r="AE7" i="3"/>
  <c r="AF12" i="3"/>
  <c r="H340" i="9" s="1"/>
  <c r="D340" i="9"/>
  <c r="AE12" i="3"/>
  <c r="F340" i="9" s="1"/>
  <c r="AG9" i="3"/>
  <c r="J337" i="9" s="1"/>
  <c r="X9" i="3"/>
  <c r="Y9" i="3"/>
  <c r="Z9" i="3" s="1"/>
  <c r="D242" i="9"/>
  <c r="Y10" i="3"/>
  <c r="Z10" i="3" s="1"/>
  <c r="X10" i="3"/>
  <c r="D243" i="9"/>
  <c r="AG8" i="3"/>
  <c r="J336" i="9" s="1"/>
  <c r="L403" i="9"/>
  <c r="L404" i="9" s="1"/>
  <c r="L391" i="9"/>
  <c r="L392" i="9" s="1"/>
  <c r="L310" i="9"/>
  <c r="L312" i="9"/>
  <c r="H312" i="9"/>
  <c r="F312" i="9"/>
  <c r="F311" i="9"/>
  <c r="H311" i="9"/>
  <c r="C311" i="9"/>
  <c r="F297" i="9"/>
  <c r="F296" i="9"/>
  <c r="D296" i="9"/>
  <c r="L297" i="9"/>
  <c r="L296" i="9"/>
  <c r="L295" i="9"/>
  <c r="D295" i="9"/>
  <c r="F310" i="9"/>
  <c r="C310" i="9"/>
  <c r="J238" i="9"/>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234" i="9"/>
  <c r="L36" i="9"/>
  <c r="L37" i="9" s="1"/>
  <c r="L94" i="9"/>
  <c r="L95" i="9" s="1"/>
  <c r="C16" i="6"/>
  <c r="E16" i="6" s="1"/>
  <c r="B55" i="3"/>
  <c r="B46" i="3"/>
  <c r="F34" i="5"/>
  <c r="E19" i="6"/>
  <c r="E28" i="6"/>
  <c r="E27" i="6"/>
  <c r="F33" i="5"/>
  <c r="B47" i="3"/>
  <c r="B53" i="3"/>
  <c r="B54" i="3"/>
  <c r="E36" i="6"/>
  <c r="E19" i="5"/>
  <c r="AD18" i="3" l="1"/>
  <c r="W18" i="3"/>
  <c r="AG7" i="3"/>
  <c r="J335" i="9" s="1"/>
  <c r="AD19" i="3"/>
  <c r="W19" i="3"/>
  <c r="AD27" i="3"/>
  <c r="W27" i="3"/>
  <c r="W20" i="3"/>
  <c r="AD20" i="3"/>
  <c r="W13" i="3"/>
  <c r="AD13" i="3"/>
  <c r="AD15" i="3"/>
  <c r="W15" i="3"/>
  <c r="AD23" i="3"/>
  <c r="W23" i="3"/>
  <c r="W16" i="3"/>
  <c r="AD16" i="3"/>
  <c r="W24" i="3"/>
  <c r="AD24" i="3"/>
  <c r="AD26" i="3"/>
  <c r="W26" i="3"/>
  <c r="AD21" i="3"/>
  <c r="W21" i="3"/>
  <c r="W14" i="3"/>
  <c r="AD14" i="3"/>
  <c r="W22" i="3"/>
  <c r="AD22" i="3"/>
  <c r="AD17" i="3"/>
  <c r="W17" i="3"/>
  <c r="AD25" i="3"/>
  <c r="W25" i="3"/>
  <c r="AG12" i="3"/>
  <c r="J340" i="9" s="1"/>
  <c r="F335" i="9"/>
  <c r="D335" i="9"/>
  <c r="L313" i="9"/>
  <c r="L314" i="9" s="1"/>
  <c r="L298" i="9"/>
  <c r="L299" i="9" s="1"/>
  <c r="B59" i="3" a="1"/>
  <c r="B59" i="3" s="1"/>
  <c r="C15" i="6" s="1"/>
  <c r="B45" i="3"/>
  <c r="E17" i="6"/>
  <c r="B60" i="3" a="1"/>
  <c r="B60" i="3" s="1"/>
  <c r="B50" i="3" a="1"/>
  <c r="B50" i="3" s="1"/>
  <c r="E51" i="5" s="1"/>
  <c r="B49" i="3" a="1"/>
  <c r="B49" i="3" s="1"/>
  <c r="E18" i="6"/>
  <c r="F19" i="5"/>
  <c r="E49" i="5"/>
  <c r="E52" i="5"/>
  <c r="E21" i="5" s="1"/>
  <c r="F21" i="5" s="1"/>
  <c r="E36" i="5" l="1"/>
  <c r="E37" i="5" s="1"/>
  <c r="Y14" i="3"/>
  <c r="D247" i="9"/>
  <c r="Z14" i="3"/>
  <c r="X14" i="3"/>
  <c r="D253" i="9"/>
  <c r="X20" i="3"/>
  <c r="F253" i="9" s="1"/>
  <c r="Y20" i="3"/>
  <c r="Z20" i="3" s="1"/>
  <c r="X27" i="3"/>
  <c r="F260" i="9" s="1"/>
  <c r="Y27" i="3"/>
  <c r="H260" i="9" s="1"/>
  <c r="D260" i="9"/>
  <c r="D353" i="9"/>
  <c r="AE25" i="3"/>
  <c r="F353" i="9" s="1"/>
  <c r="AF25" i="3"/>
  <c r="H353" i="9" s="1"/>
  <c r="AE21" i="3"/>
  <c r="F349" i="9" s="1"/>
  <c r="AF21" i="3"/>
  <c r="H349" i="9" s="1"/>
  <c r="D349" i="9"/>
  <c r="AE23" i="3"/>
  <c r="F351" i="9" s="1"/>
  <c r="AF23" i="3"/>
  <c r="H351" i="9" s="1"/>
  <c r="D351" i="9"/>
  <c r="AF27" i="3"/>
  <c r="H355" i="9" s="1"/>
  <c r="D355" i="9"/>
  <c r="AE27" i="3"/>
  <c r="F355" i="9" s="1"/>
  <c r="AE14" i="3"/>
  <c r="F342" i="9" s="1"/>
  <c r="AF14" i="3"/>
  <c r="H342" i="9" s="1"/>
  <c r="D342" i="9"/>
  <c r="AF20" i="3"/>
  <c r="H348" i="9" s="1"/>
  <c r="D348" i="9"/>
  <c r="AG20" i="3"/>
  <c r="J348" i="9" s="1"/>
  <c r="AE20" i="3"/>
  <c r="F348" i="9" s="1"/>
  <c r="D345" i="9"/>
  <c r="AE17" i="3"/>
  <c r="F345" i="9" s="1"/>
  <c r="AF17" i="3"/>
  <c r="H345" i="9" s="1"/>
  <c r="AE15" i="3"/>
  <c r="F343" i="9" s="1"/>
  <c r="AF15" i="3"/>
  <c r="H343" i="9" s="1"/>
  <c r="D343" i="9"/>
  <c r="AF19" i="3"/>
  <c r="H347" i="9" s="1"/>
  <c r="D347" i="9"/>
  <c r="AE19" i="3"/>
  <c r="F347" i="9" s="1"/>
  <c r="Y16" i="3"/>
  <c r="Z16" i="3" s="1"/>
  <c r="D249" i="9"/>
  <c r="X16" i="3"/>
  <c r="X25" i="3"/>
  <c r="Y25" i="3"/>
  <c r="Z25" i="3" s="1"/>
  <c r="D258" i="9"/>
  <c r="Y23" i="3"/>
  <c r="H256" i="9" s="1"/>
  <c r="D256" i="9"/>
  <c r="Z23" i="3"/>
  <c r="X23" i="3"/>
  <c r="X17" i="3"/>
  <c r="F250" i="9" s="1"/>
  <c r="Y17" i="3"/>
  <c r="H250" i="9" s="1"/>
  <c r="D250" i="9"/>
  <c r="X26" i="3"/>
  <c r="F259" i="9" s="1"/>
  <c r="Y26" i="3"/>
  <c r="H259" i="9" s="1"/>
  <c r="D259" i="9"/>
  <c r="Z26" i="3"/>
  <c r="Y15" i="3"/>
  <c r="Z15" i="3" s="1"/>
  <c r="D248" i="9"/>
  <c r="X15" i="3"/>
  <c r="F248" i="9" s="1"/>
  <c r="X19" i="3"/>
  <c r="F252" i="9" s="1"/>
  <c r="Y19" i="3"/>
  <c r="Z19" i="3" s="1"/>
  <c r="D252" i="9"/>
  <c r="AE22" i="3"/>
  <c r="F350" i="9" s="1"/>
  <c r="AF22" i="3"/>
  <c r="H350" i="9" s="1"/>
  <c r="D350" i="9"/>
  <c r="AE13" i="3"/>
  <c r="F341" i="9" s="1"/>
  <c r="AF13" i="3"/>
  <c r="H341" i="9" s="1"/>
  <c r="D341" i="9"/>
  <c r="AE16" i="3"/>
  <c r="F344" i="9" s="1"/>
  <c r="AF16" i="3"/>
  <c r="H344" i="9" s="1"/>
  <c r="D344" i="9"/>
  <c r="D254" i="9"/>
  <c r="X21" i="3"/>
  <c r="F254" i="9" s="1"/>
  <c r="Y21" i="3"/>
  <c r="H254" i="9" s="1"/>
  <c r="AF26" i="3"/>
  <c r="H354" i="9" s="1"/>
  <c r="D354" i="9"/>
  <c r="AE26" i="3"/>
  <c r="F354" i="9" s="1"/>
  <c r="AE24" i="3"/>
  <c r="F352" i="9" s="1"/>
  <c r="AF24" i="3"/>
  <c r="H352" i="9" s="1"/>
  <c r="D352" i="9"/>
  <c r="Y22" i="3"/>
  <c r="Z22" i="3" s="1"/>
  <c r="D255" i="9"/>
  <c r="X22" i="3"/>
  <c r="Y24" i="3"/>
  <c r="D257" i="9"/>
  <c r="Z24" i="3"/>
  <c r="X24" i="3"/>
  <c r="F257" i="9" s="1"/>
  <c r="D246" i="9"/>
  <c r="Z13" i="3"/>
  <c r="X13" i="3"/>
  <c r="F246" i="9" s="1"/>
  <c r="Y13" i="3"/>
  <c r="X18" i="3"/>
  <c r="Y18" i="3"/>
  <c r="D251" i="9"/>
  <c r="Z18" i="3"/>
  <c r="AF18" i="3"/>
  <c r="H346" i="9" s="1"/>
  <c r="D346" i="9"/>
  <c r="AE18" i="3"/>
  <c r="F346" i="9" s="1"/>
  <c r="E15" i="6"/>
  <c r="E21" i="6" s="1"/>
  <c r="F241" i="9"/>
  <c r="H252" i="9"/>
  <c r="H251" i="9"/>
  <c r="F251" i="9"/>
  <c r="H241" i="9"/>
  <c r="F240" i="9"/>
  <c r="H240" i="9"/>
  <c r="F256" i="9"/>
  <c r="H243" i="9"/>
  <c r="F243" i="9"/>
  <c r="F249" i="9"/>
  <c r="H257" i="9"/>
  <c r="F242" i="9"/>
  <c r="H242" i="9"/>
  <c r="H244" i="9"/>
  <c r="F244" i="9"/>
  <c r="H246" i="9"/>
  <c r="F247" i="9"/>
  <c r="H247" i="9"/>
  <c r="F255" i="9"/>
  <c r="F258" i="9"/>
  <c r="H245" i="9"/>
  <c r="F245" i="9"/>
  <c r="C23" i="6"/>
  <c r="E18" i="5"/>
  <c r="E20" i="5"/>
  <c r="H249" i="9" l="1"/>
  <c r="H253" i="9"/>
  <c r="H248" i="9"/>
  <c r="AG16" i="3"/>
  <c r="J344" i="9" s="1"/>
  <c r="AG22" i="3"/>
  <c r="J350" i="9" s="1"/>
  <c r="AG23" i="3"/>
  <c r="J351" i="9" s="1"/>
  <c r="AG13" i="3"/>
  <c r="J341" i="9" s="1"/>
  <c r="AG17" i="3"/>
  <c r="J345" i="9" s="1"/>
  <c r="AG21" i="3"/>
  <c r="J349" i="9" s="1"/>
  <c r="H258" i="9"/>
  <c r="E38" i="5"/>
  <c r="E39" i="5"/>
  <c r="F24" i="5"/>
  <c r="AG25" i="3"/>
  <c r="J353" i="9" s="1"/>
  <c r="H255" i="9"/>
  <c r="AG14" i="3"/>
  <c r="J342" i="9" s="1"/>
  <c r="Z21" i="3"/>
  <c r="J254" i="9" s="1"/>
  <c r="AG24" i="3"/>
  <c r="J352" i="9" s="1"/>
  <c r="AG15" i="3"/>
  <c r="J343" i="9" s="1"/>
  <c r="Z17" i="3"/>
  <c r="AG18" i="3"/>
  <c r="J346" i="9" s="1"/>
  <c r="AG26" i="3"/>
  <c r="J354" i="9" s="1"/>
  <c r="AG19" i="3"/>
  <c r="J347" i="9" s="1"/>
  <c r="AG27" i="3"/>
  <c r="J355" i="9" s="1"/>
  <c r="Z27" i="3"/>
  <c r="J260" i="9" s="1"/>
  <c r="J259" i="9"/>
  <c r="J251" i="9"/>
  <c r="J252" i="9"/>
  <c r="J245" i="9"/>
  <c r="J241" i="9"/>
  <c r="J257" i="9"/>
  <c r="J244" i="9"/>
  <c r="J243" i="9"/>
  <c r="J256" i="9"/>
  <c r="J242" i="9"/>
  <c r="J240" i="9"/>
  <c r="J255" i="9"/>
  <c r="J246" i="9"/>
  <c r="J249" i="9"/>
  <c r="J247" i="9"/>
  <c r="J248" i="9"/>
  <c r="J253" i="9"/>
  <c r="J258" i="9"/>
  <c r="J250" i="9"/>
  <c r="E26" i="5"/>
  <c r="E29" i="5"/>
  <c r="F29" i="5" s="1"/>
  <c r="C20" i="6"/>
  <c r="F20" i="5"/>
  <c r="E23" i="6"/>
  <c r="E50" i="5"/>
  <c r="E20" i="6" l="1"/>
  <c r="F22" i="5" l="1"/>
  <c r="F23" i="5"/>
  <c r="F18" i="5" l="1"/>
  <c r="F27" i="5" s="1"/>
  <c r="F26" i="5"/>
  <c r="AA38" i="2" l="1"/>
  <c r="AA37" i="2"/>
  <c r="AA36" i="2"/>
  <c r="AA35" i="2"/>
  <c r="AB30" i="2"/>
  <c r="AB28" i="2"/>
  <c r="AB31" i="2" s="1"/>
  <c r="AB32" i="2" s="1"/>
  <c r="AB25" i="2"/>
  <c r="T24" i="2"/>
  <c r="S24" i="2"/>
  <c r="S23" i="2"/>
  <c r="W23" i="2" s="1"/>
  <c r="X23" i="2" s="1"/>
  <c r="W22" i="2"/>
  <c r="X22" i="2" s="1"/>
  <c r="S22" i="2"/>
  <c r="AB21" i="2"/>
  <c r="AB22" i="2" s="1"/>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S11" i="2"/>
  <c r="W11" i="2" s="1"/>
  <c r="X11" i="2" s="1"/>
  <c r="X10" i="2"/>
  <c r="W10" i="2"/>
  <c r="S10" i="2"/>
  <c r="U10" i="2" s="1"/>
  <c r="V10" i="2" s="1"/>
  <c r="AB9" i="2"/>
  <c r="W9" i="2"/>
  <c r="X9" i="2" s="1"/>
  <c r="U9" i="2"/>
  <c r="V9" i="2" s="1"/>
  <c r="S9" i="2"/>
  <c r="T9" i="2" s="1"/>
  <c r="S8" i="2"/>
  <c r="S7" i="2"/>
  <c r="AH6" i="2"/>
  <c r="S6" i="2"/>
  <c r="AH5" i="2"/>
  <c r="S5" i="2"/>
  <c r="AH4" i="2"/>
  <c r="AB4" i="2"/>
  <c r="S4" i="2"/>
  <c r="AH3" i="2"/>
  <c r="AB3" i="2"/>
  <c r="AB2" i="2"/>
  <c r="AB5" i="2" l="1"/>
  <c r="AB6" i="2" s="1"/>
  <c r="AB15" i="2"/>
  <c r="AB16" i="2" s="1"/>
  <c r="V22" i="2"/>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<sst xmlns="http://schemas.openxmlformats.org/spreadsheetml/2006/main" count="607" uniqueCount="358">
  <si>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</si>
  <si>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</si>
  <si>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</si>
  <si>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</si>
  <si>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</si>
  <si>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</si>
  <si>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</si>
  <si>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</si>
  <si>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</si>
  <si>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</si>
  <si>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</si>
  <si>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</si>
  <si>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</si>
  <si>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</si>
  <si>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</si>
  <si>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</si>
  <si>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</si>
  <si>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</si>
  <si>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</si>
  <si>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</si>
  <si>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</si>
  <si>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</si>
  <si>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</si>
  <si>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</si>
  <si>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</si>
  <si>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</si>
  <si>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</si>
  <si>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</si>
  <si>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</si>
  <si>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</si>
  <si>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</si>
  <si>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</si>
  <si>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</si>
  <si>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</si>
  <si>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t>Min. 117 timer/md.</t>
  </si>
  <si>
    <t>Min. 27/37</t>
  </si>
  <si>
    <t>Funktionstillæg</t>
  </si>
  <si>
    <t>78 - 116 timer/md.</t>
  </si>
  <si>
    <t>18/37 til 26,99/37</t>
  </si>
  <si>
    <t>I alt årsløn</t>
  </si>
  <si>
    <t>39 - 77 timer/md.</t>
  </si>
  <si>
    <t>9/37 til 17,99/37</t>
  </si>
  <si>
    <t>I alt månedsløn</t>
  </si>
  <si>
    <t>Under 39 timer/md.</t>
  </si>
  <si>
    <t>Under 9/37</t>
  </si>
  <si>
    <t>Pension lærer</t>
  </si>
  <si>
    <t>Årligt pensionsbidrag af trinløn</t>
  </si>
  <si>
    <t xml:space="preserve">                   100*37</t>
  </si>
  <si>
    <t>Fuld tid: 160,33 timer/måned</t>
  </si>
  <si>
    <t>Årligt pensionsbidrag, tillæg til grundlønnen</t>
  </si>
  <si>
    <t>100*37</t>
  </si>
  <si>
    <t>Årlig pension, kronetillæg</t>
  </si>
  <si>
    <t>Årlig pension i alt</t>
  </si>
  <si>
    <t>Månedlig pensionsindbetaling i alt:</t>
  </si>
  <si>
    <t>Års- og månedsløn leder</t>
  </si>
  <si>
    <t>Årsløn trin 50 (gruppe 3)</t>
  </si>
  <si>
    <t>Årsløn kronetillæg 30.000 kr. i 31/3 2000-niveau</t>
  </si>
  <si>
    <t>Årsløn i alt</t>
  </si>
  <si>
    <t>Månedsløn i alt</t>
  </si>
  <si>
    <t>Pensionsgivende løn leder</t>
  </si>
  <si>
    <t>Pension leder</t>
  </si>
  <si>
    <t>Årligt pensionsbidrag af pensionsgivende årsløn:</t>
  </si>
  <si>
    <t>Årligt pensionsbidrag af kronetillægget</t>
  </si>
  <si>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</si>
  <si>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</si>
  <si>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</si>
  <si>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</si>
  <si>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</si>
  <si>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</si>
  <si>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</si>
  <si>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</si>
  <si>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</si>
  <si>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</si>
  <si>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</si>
  <si>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</si>
  <si>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</si>
  <si>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</si>
  <si>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</si>
  <si>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</si>
  <si>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</si>
  <si>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</si>
  <si>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</si>
  <si>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</si>
  <si>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</si>
  <si>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</si>
  <si>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</si>
  <si>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</si>
  <si>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</si>
  <si>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</si>
  <si>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</si>
  <si>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</si>
  <si>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</si>
  <si>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</si>
  <si>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</si>
  <si>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</si>
  <si>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</si>
  <si>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</si>
  <si>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</si>
  <si>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</si>
  <si>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</si>
  <si>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</si>
  <si>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</si>
  <si>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</si>
  <si>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</si>
  <si>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</si>
  <si>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</si>
  <si>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</si>
  <si>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</si>
  <si>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</si>
  <si>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</si>
  <si>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</si>
  <si>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</si>
  <si>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</si>
  <si>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</si>
  <si>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</si>
  <si>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</si>
  <si>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</si>
  <si>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</si>
  <si>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</si>
  <si>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</si>
  <si>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</si>
  <si>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</si>
  <si>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</si>
  <si>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</si>
  <si>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</si>
  <si>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</si>
  <si>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</si>
  <si>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</si>
  <si>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</si>
  <si>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</si>
  <si>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</si>
  <si>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</si>
  <si>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</si>
  <si>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</si>
  <si>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</si>
  <si>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</si>
  <si>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</si>
  <si>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</si>
  <si>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</si>
  <si>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</si>
  <si>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</si>
  <si>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</si>
  <si>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</si>
  <si>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</si>
  <si>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</si>
  <si>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</si>
  <si>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</si>
  <si>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</si>
  <si>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</si>
  <si>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</si>
  <si>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</si>
  <si>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</si>
  <si>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</si>
  <si>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</si>
  <si>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</si>
  <si>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</si>
  <si>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</si>
  <si>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</si>
  <si>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</si>
  <si>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</si>
  <si>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</si>
  <si>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</si>
  <si>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</si>
  <si>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</si>
  <si>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</si>
  <si>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</si>
  <si>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</si>
  <si>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</si>
  <si>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</si>
  <si>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</si>
  <si>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</si>
  <si>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</si>
  <si>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</si>
  <si>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</si>
  <si>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</si>
  <si>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</si>
  <si>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</si>
  <si>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</si>
  <si>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</si>
  <si>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</si>
  <si>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</si>
  <si>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</si>
  <si>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</si>
  <si>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</si>
  <si>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</si>
  <si>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</si>
  <si>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</si>
  <si>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</si>
  <si>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</si>
  <si>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</si>
  <si>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</si>
  <si>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</si>
  <si>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</si>
  <si>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</si>
  <si>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</si>
  <si>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</si>
  <si>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</si>
  <si>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</si>
  <si>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</si>
  <si>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</si>
  <si>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</si>
  <si>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</si>
  <si>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</si>
  <si>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</si>
  <si>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</si>
  <si>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</si>
  <si>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</si>
  <si>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</si>
  <si>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</si>
  <si>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</si>
  <si>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</si>
  <si>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</si>
  <si>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</si>
  <si>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</si>
  <si>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</si>
  <si>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</si>
  <si>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</si>
  <si>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</si>
  <si>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</si>
  <si>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</si>
  <si>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</si>
  <si>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</si>
  <si>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</si>
  <si>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</si>
  <si>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</si>
  <si>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</si>
  <si>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</si>
  <si>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</si>
  <si>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</si>
  <si>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</si>
  <si>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</si>
  <si>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</si>
  <si>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</si>
  <si>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</si>
  <si>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</si>
  <si>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</si>
  <si>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</si>
  <si>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t>Ulempegodtgørelse pr. time*****</t>
  </si>
  <si>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</si>
  <si>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</si>
  <si>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</si>
  <si>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</si>
  <si>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</si>
  <si>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</si>
  <si>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</si>
  <si>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</si>
  <si>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</si>
  <si>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</si>
  <si>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</si>
  <si>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</si>
  <si>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</si>
  <si>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</si>
  <si>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</si>
  <si>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</si>
  <si>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</si>
  <si>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</si>
  <si>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</si>
  <si>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</si>
  <si>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</si>
  <si>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</si>
  <si>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</si>
  <si>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</si>
  <si>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</si>
  <si>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</si>
  <si>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</si>
  <si>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</si>
  <si>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</si>
  <si>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</si>
  <si>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</si>
  <si>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</si>
  <si>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</si>
  <si>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t>Grundbeløb 31.3.2000</t>
  </si>
  <si>
    <r>
      <t>**</t>
    </r>
    <r>
      <rPr>
        <sz val="9"/>
        <color theme="1"/>
        <rFont val="Times New Roman"/>
        <family val="1"/>
      </rPr>
      <t>MGK-tillæg for ledere</t>
    </r>
  </si>
  <si>
    <t xml:space="preserve">Det aftalte kronetillæg i grundniveau (31.3.2000-niveau) ganges med den aktuelle reguleringsfaktor: </t>
  </si>
  <si>
    <t>**</t>
  </si>
  <si>
    <t>Eksempler på kronebeløb, musikskoleledere</t>
  </si>
  <si>
    <t>Eksempel for en musikskoleleder med:</t>
  </si>
  <si>
    <t>Årsløn, kronetillæg 30.000 i grundniveau:</t>
  </si>
  <si>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</si>
  <si>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</si>
  <si>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</si>
  <si>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</si>
  <si>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</si>
  <si>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</si>
  <si>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</si>
  <si>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</si>
  <si>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</si>
  <si>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</si>
  <si>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</si>
  <si>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</si>
  <si>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</si>
  <si>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</si>
  <si>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</si>
  <si>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</si>
  <si>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</si>
  <si>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</si>
  <si>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</si>
  <si>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</si>
  <si>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</si>
  <si>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</si>
  <si>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</si>
  <si>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</si>
  <si>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</si>
  <si>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</si>
  <si>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</si>
  <si>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</si>
  <si>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</si>
  <si>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</si>
  <si>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</si>
  <si>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</si>
  <si>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</si>
  <si>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</si>
  <si>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</si>
  <si>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</si>
  <si>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</si>
  <si>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</si>
  <si>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</si>
  <si>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</si>
  <si>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</si>
  <si>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Kørsel lav takst</t>
  </si>
  <si>
    <t>Kørsel høj takst</t>
  </si>
  <si>
    <t xml:space="preserve"> kr. pr. km</t>
  </si>
  <si>
    <r>
      <t>1500*</t>
    </r>
    <r>
      <rPr>
        <u/>
        <sz val="11"/>
        <color rgb="FFFF0000"/>
        <rFont val="Times New Roman"/>
        <family val="1"/>
      </rPr>
      <t>1,516971</t>
    </r>
    <r>
      <rPr>
        <u/>
        <sz val="11"/>
        <color theme="1"/>
        <rFont val="Times New Roman"/>
        <family val="1"/>
      </rPr>
      <t>*16,61*30</t>
    </r>
  </si>
  <si>
    <r>
      <t>16,61*7.900*</t>
    </r>
    <r>
      <rPr>
        <u/>
        <sz val="11"/>
        <color rgb="FFFF0000"/>
        <rFont val="Times New Roman"/>
        <family val="1"/>
      </rPr>
      <t>1,516971</t>
    </r>
  </si>
  <si>
    <r>
      <t>30.000.kr.*</t>
    </r>
    <r>
      <rPr>
        <sz val="11"/>
        <color rgb="FFFF0000"/>
        <rFont val="Times New Roman"/>
        <family val="1"/>
      </rPr>
      <t>1,516971</t>
    </r>
  </si>
  <si>
    <r>
      <t>17,09*30.000 kr.*</t>
    </r>
    <r>
      <rPr>
        <u/>
        <sz val="11"/>
        <color rgb="FFFF0000"/>
        <rFont val="Times New Roman"/>
        <family val="1"/>
      </rPr>
      <t>1,516971</t>
    </r>
  </si>
  <si>
    <r>
      <t>1.500 kr.*</t>
    </r>
    <r>
      <rPr>
        <sz val="11"/>
        <color rgb="FFFF0000"/>
        <rFont val="Times New Roman"/>
        <family val="1"/>
      </rPr>
      <t>1,516971</t>
    </r>
    <r>
      <rPr>
        <sz val="11"/>
        <color theme="1"/>
        <rFont val="Times New Roman"/>
        <family val="1"/>
      </rPr>
      <t>*30/37</t>
    </r>
  </si>
  <si>
    <r>
      <t>7.900 kr.*</t>
    </r>
    <r>
      <rPr>
        <sz val="11"/>
        <color rgb="FFFF0000"/>
        <rFont val="Times New Roman"/>
        <family val="1"/>
      </rPr>
      <t>1,516971</t>
    </r>
  </si>
  <si>
    <r>
      <rPr>
        <sz val="12"/>
        <color rgb="FFFF0000"/>
        <rFont val="Times New Roman"/>
        <family val="1"/>
      </rPr>
      <t>431.972</t>
    </r>
    <r>
      <rPr>
        <sz val="12"/>
        <color rgb="FF000000"/>
        <rFont val="Times New Roman"/>
        <family val="1"/>
      </rPr>
      <t>*30/37</t>
    </r>
  </si>
  <si>
    <r>
      <t>16,61*</t>
    </r>
    <r>
      <rPr>
        <u/>
        <sz val="11"/>
        <color rgb="FFFF0000"/>
        <rFont val="Times New Roman"/>
        <family val="1"/>
      </rPr>
      <t>431.972</t>
    </r>
    <r>
      <rPr>
        <u/>
        <sz val="11"/>
        <rFont val="Times New Roman"/>
        <family val="1"/>
      </rPr>
      <t>*30</t>
    </r>
  </si>
  <si>
    <r>
      <t>17,09*</t>
    </r>
    <r>
      <rPr>
        <u/>
        <sz val="11"/>
        <color rgb="FFFF0000"/>
        <rFont val="Times New Roman"/>
        <family val="1"/>
      </rPr>
      <t>596.760</t>
    </r>
    <r>
      <rPr>
        <sz val="11"/>
        <color rgb="FF000000"/>
        <rFont val="Times New Roman"/>
        <family val="1"/>
      </rPr>
      <t xml:space="preserve">                                                                                    </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</si>
  <si>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</si>
  <si>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Årsgrundlag</t>
  </si>
  <si>
    <t>Timeløn (lønfradrag)</t>
  </si>
  <si>
    <t>Under 39 timer/måned</t>
  </si>
  <si>
    <t>39 til &lt;78 timer/måned</t>
  </si>
  <si>
    <t>78 - &lt;117 timer/md.</t>
  </si>
  <si>
    <t>9/37-17,99/37</t>
  </si>
  <si>
    <t>Lønseddeltjek, musik- og kulturskolelærere fra d. 1. april 2024</t>
  </si>
  <si>
    <t>Lønseddeltjek, musikskoleledere/-mellemledere fra d. 1. april 2024</t>
  </si>
  <si>
    <r>
      <rPr>
        <b/>
        <sz val="16"/>
        <color rgb="FFFF5955"/>
        <rFont val="Times New Roman"/>
        <family val="1"/>
      </rPr>
      <t xml:space="preserve">Beregning af kronetillæg, </t>
    </r>
    <r>
      <rPr>
        <b/>
        <sz val="16"/>
        <color rgb="FF003FC2"/>
        <rFont val="Times New Roman"/>
        <family val="1"/>
      </rPr>
      <t>musikskolelærere</t>
    </r>
    <r>
      <rPr>
        <b/>
        <sz val="16"/>
        <color rgb="FFFF5955"/>
        <rFont val="Times New Roman"/>
        <family val="1"/>
      </rPr>
      <t>:</t>
    </r>
  </si>
  <si>
    <r>
      <rPr>
        <b/>
        <sz val="16"/>
        <color rgb="FFFF5955"/>
        <rFont val="Calibri"/>
        <family val="2"/>
        <scheme val="minor"/>
      </rPr>
      <t>Eksempler på kronetillæg,</t>
    </r>
    <r>
      <rPr>
        <b/>
        <sz val="16"/>
        <color rgb="FFBC0515"/>
        <rFont val="Calibri"/>
        <family val="2"/>
        <scheme val="minor"/>
      </rPr>
      <t xml:space="preserve"> </t>
    </r>
    <r>
      <rPr>
        <b/>
        <sz val="16"/>
        <color rgb="FF0076DA"/>
        <rFont val="Calibri"/>
        <family val="2"/>
        <scheme val="minor"/>
      </rPr>
      <t>musikskolelærere</t>
    </r>
    <r>
      <rPr>
        <b/>
        <sz val="16"/>
        <color rgb="FFFF5955"/>
        <rFont val="Calibri"/>
        <family val="2"/>
        <scheme val="minor"/>
      </rPr>
      <t>:</t>
    </r>
  </si>
  <si>
    <r>
      <rPr>
        <b/>
        <sz val="16"/>
        <color rgb="FFFF5955"/>
        <rFont val="Calibri"/>
        <family val="2"/>
        <scheme val="minor"/>
      </rPr>
      <t>Beregning af årsløn og månedsløn,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</si>
  <si>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t>Pensionsbidraget for ovenstående lærer beregnes på flg. måde (</t>
    </r>
    <r>
      <rPr>
        <b/>
        <sz val="11"/>
        <color rgb="FFFF5955"/>
        <rFont val="Calibri"/>
        <family val="2"/>
        <scheme val="minor"/>
      </rPr>
      <t>husk at hente det aktuelle løntrin i tabellen for pensionsgivende årslønninger</t>
    </r>
    <r>
      <rPr>
        <b/>
        <sz val="11"/>
        <color theme="1"/>
        <rFont val="Calibri"/>
        <family val="2"/>
        <scheme val="minor"/>
      </rPr>
      <t xml:space="preserve">): </t>
    </r>
  </si>
  <si>
    <r>
      <rPr>
        <b/>
        <sz val="16"/>
        <color rgb="FFFF5955"/>
        <rFont val="Calibri"/>
        <family val="2"/>
        <scheme val="minor"/>
      </rPr>
      <t>Beregning af pension,</t>
    </r>
    <r>
      <rPr>
        <b/>
        <sz val="16"/>
        <color rgb="FFBC0515"/>
        <rFont val="Calibri"/>
        <family val="2"/>
        <scheme val="minor"/>
      </rPr>
      <t xml:space="preserve"> </t>
    </r>
    <r>
      <rPr>
        <b/>
        <sz val="16"/>
        <color rgb="FF003FC2"/>
        <rFont val="Calibri"/>
        <family val="2"/>
        <scheme val="minor"/>
      </rPr>
      <t>musikskolelærere</t>
    </r>
    <r>
      <rPr>
        <b/>
        <sz val="16"/>
        <color rgb="FFFF5955"/>
        <rFont val="Calibri"/>
        <family val="2"/>
        <scheme val="minor"/>
      </rPr>
      <t>:</t>
    </r>
  </si>
  <si>
    <r>
      <rPr>
        <b/>
        <sz val="16"/>
        <color rgb="FFFF5955"/>
        <rFont val="Times New Roman"/>
        <family val="1"/>
      </rPr>
      <t xml:space="preserve">Beregning af kronetillæg, </t>
    </r>
    <r>
      <rPr>
        <b/>
        <sz val="16"/>
        <color rgb="FF003FC2"/>
        <rFont val="Times New Roman"/>
        <family val="1"/>
      </rPr>
      <t>musikskoleledere og -mellemledere</t>
    </r>
    <r>
      <rPr>
        <b/>
        <sz val="16"/>
        <color rgb="FFFF5955"/>
        <rFont val="Times New Roman"/>
        <family val="1"/>
      </rPr>
      <t xml:space="preserve">: </t>
    </r>
  </si>
  <si>
    <r>
      <rPr>
        <b/>
        <sz val="16"/>
        <color rgb="FFFF5955"/>
        <rFont val="Times New Roman"/>
        <family val="1"/>
      </rPr>
      <t>Eksempler på kronetillæg</t>
    </r>
    <r>
      <rPr>
        <b/>
        <sz val="16"/>
        <color rgb="FFBC0515"/>
        <rFont val="Times New Roman"/>
        <family val="1"/>
      </rPr>
      <t xml:space="preserve">, </t>
    </r>
    <r>
      <rPr>
        <b/>
        <sz val="16"/>
        <color rgb="FF003FC2"/>
        <rFont val="Times New Roman"/>
        <family val="1"/>
      </rPr>
      <t>musikskoleledere og -mellemledere</t>
    </r>
    <r>
      <rPr>
        <b/>
        <sz val="16"/>
        <color rgb="FFFF5955"/>
        <rFont val="Times New Roman"/>
        <family val="1"/>
      </rPr>
      <t>:</t>
    </r>
  </si>
  <si>
    <r>
      <rPr>
        <b/>
        <sz val="16"/>
        <color rgb="FFFF5955"/>
        <rFont val="Calibri"/>
        <family val="2"/>
        <scheme val="minor"/>
      </rPr>
      <t xml:space="preserve">Beregning af årsløn og månedsløn, </t>
    </r>
    <r>
      <rPr>
        <b/>
        <sz val="16"/>
        <color rgb="FF003FC2"/>
        <rFont val="Calibri"/>
        <family val="2"/>
        <scheme val="minor"/>
      </rPr>
      <t>musikskoleledere og -mellemledere:</t>
    </r>
  </si>
  <si>
    <r>
      <rPr>
        <b/>
        <sz val="16"/>
        <color rgb="FFFF5955"/>
        <rFont val="Times New Roman"/>
        <family val="1"/>
      </rPr>
      <t>Beregning af pension,</t>
    </r>
    <r>
      <rPr>
        <b/>
        <sz val="16"/>
        <color rgb="FF003FC2"/>
        <rFont val="Times New Roman"/>
        <family val="1"/>
      </rPr>
      <t xml:space="preserve"> musikskoleledere og -mellemledere</t>
    </r>
    <r>
      <rPr>
        <b/>
        <sz val="16"/>
        <color rgb="FFFF5955"/>
        <rFont val="Times New Roman"/>
        <family val="1"/>
      </rPr>
      <t>:</t>
    </r>
  </si>
  <si>
    <r>
      <t>Pensionsbidraget for ovenstående leder beregnes på flg. måde (</t>
    </r>
    <r>
      <rPr>
        <b/>
        <sz val="11"/>
        <color rgb="FFFF5955"/>
        <rFont val="Times New Roman"/>
        <family val="1"/>
      </rPr>
      <t>husk at hente det aktuelle løntrin i tabellen for pensionsgivende årslønninger</t>
    </r>
    <r>
      <rPr>
        <b/>
        <sz val="11"/>
        <color theme="1"/>
        <rFont val="Times New Roman"/>
        <family val="1"/>
      </rPr>
      <t xml:space="preserve">): </t>
    </r>
  </si>
  <si>
    <t>*Ansættelseskommune (klik i det blå felt, klik på pil til højre, vælg fra listen)</t>
  </si>
  <si>
    <t xml:space="preserve">*Ansættelsesgrad: </t>
  </si>
  <si>
    <t xml:space="preserve">*Løntrin** </t>
  </si>
  <si>
    <t>Kronetillæg pr. år i grundniveau, reduceres ift. ansættelsesgraden***</t>
  </si>
  <si>
    <t>Kroneillæg pr. år i grundniveau, reduceres ikke ift. ansættelsesgraden***</t>
  </si>
  <si>
    <t>*Evt. grundlønstillæg***</t>
  </si>
  <si>
    <r>
      <rPr>
        <b/>
        <sz val="11"/>
        <color rgb="FFFF5955"/>
        <rFont val="Calibri"/>
        <family val="2"/>
        <scheme val="minor"/>
      </rPr>
      <t>Tillæg red. ift.ansættelsesgrade</t>
    </r>
    <r>
      <rPr>
        <sz val="11"/>
        <color rgb="FFFF5955"/>
        <rFont val="Calibri"/>
        <family val="2"/>
        <scheme val="minor"/>
      </rPr>
      <t>n</t>
    </r>
  </si>
  <si>
    <r>
      <t>*Ansættelseskommune</t>
    </r>
    <r>
      <rPr>
        <b/>
        <sz val="11"/>
        <color theme="4"/>
        <rFont val="Calibri"/>
        <family val="2"/>
        <scheme val="minor"/>
      </rPr>
      <t xml:space="preserve"> (klik i det blå felt, klik på pil til højre, vælg fra listen)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</si>
</sst>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kr.&quot;;[Red]\-#,##0\ &quot;kr.&quot;"/>
    <numFmt numFmtId="8" formatCode="#,##0.00\ &quot;kr.&quot;;[Red]\-#,##0.00\ &quot;kr.&quot;"/>
    <numFmt numFmtId="43" formatCode="_-* #,##0.00_-;\-* #,##0.00_-;_-* &quot;-&quot;??_-;_-@_-"/>
    <numFmt numFmtId="164" formatCode="#,##0.00\ &quot;kr.&quot;"/>
    <numFmt numFmtId="165" formatCode="0.000000"/>
    <numFmt numFmtId="166" formatCode="#,##0.000000"/>
    <numFmt numFmtId="167" formatCode="#,##0.000000;\-#,##0.000000"/>
    <numFmt numFmtId="168" formatCode="_-* #,##0_-;\-* #,##0_-;_-* &quot;-&quot;??_-;_-@_-"/>
  </numFmts>
  <fonts count="77">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22"/>
      <color theme="0"/>
      <name val="Calibri"/>
      <family val="2"/>
      <scheme val="minor"/>
    </font>
    <font>
      <sz val="11"/>
      <color rgb="FFC00000"/>
      <name val="Calibri"/>
      <family val="2"/>
      <scheme val="minor"/>
    </font>
    <font>
      <u/>
      <sz val="11"/>
      <color theme="10"/>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BC0515"/>
      <name val="Times New Roman"/>
      <family val="1"/>
    </font>
    <font>
      <b/>
      <sz val="16"/>
      <color theme="1"/>
      <name val="Calibri"/>
      <family val="2"/>
      <scheme val="minor"/>
    </font>
    <font>
      <b/>
      <sz val="11"/>
      <color rgb="FF000000"/>
      <name val="Times New Roman"/>
      <family val="1"/>
    </font>
    <font>
      <b/>
      <sz val="11"/>
      <color theme="0"/>
      <name val="Times New Roman"/>
      <family val="1"/>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
      <b/>
      <sz val="16"/>
      <color rgb="FF0076DA"/>
      <name val="Calibri"/>
      <family val="2"/>
      <scheme val="minor"/>
    </font>
    <font>
      <b/>
      <sz val="16"/>
      <color rgb="FF003FC2"/>
      <name val="Calibri"/>
      <family val="2"/>
      <scheme val="minor"/>
    </font>
    <font>
      <sz val="16"/>
      <color rgb="FF003FC2"/>
      <name val="Calibri"/>
      <family val="2"/>
      <scheme val="minor"/>
    </font>
    <font>
      <sz val="11"/>
      <color rgb="FFFF5955"/>
      <name val="Calibri"/>
      <family val="2"/>
      <scheme val="minor"/>
    </font>
    <font>
      <sz val="18"/>
      <color rgb="FF003FC2"/>
      <name val="Calibri"/>
      <family val="2"/>
      <scheme val="minor"/>
    </font>
    <font>
      <sz val="26"/>
      <color rgb="FF003FC2"/>
      <name val="Calibri"/>
      <family val="2"/>
      <scheme val="minor"/>
    </font>
    <font>
      <b/>
      <sz val="16"/>
      <color rgb="FFFF5955"/>
      <name val="Times New Roman"/>
      <family val="1"/>
    </font>
    <font>
      <b/>
      <sz val="16"/>
      <color rgb="FF003FC2"/>
      <name val="Times New Roman"/>
      <family val="1"/>
    </font>
    <font>
      <b/>
      <sz val="16"/>
      <color rgb="FFFF5955"/>
      <name val="Calibri"/>
      <family val="2"/>
      <scheme val="minor"/>
    </font>
    <font>
      <b/>
      <sz val="11"/>
      <color rgb="FFFF5955"/>
      <name val="Calibri"/>
      <family val="2"/>
      <scheme val="minor"/>
    </font>
    <font>
      <b/>
      <sz val="11"/>
      <color rgb="FFFF5955"/>
      <name val="Times New Roman"/>
      <family val="1"/>
    </font>
    <font>
      <b/>
      <sz val="18"/>
      <color rgb="FFFF5955"/>
      <name val="Calibri"/>
      <family val="2"/>
      <scheme val="minor"/>
    </font>
    <font>
      <b/>
      <sz val="22"/>
      <color rgb="FFFF5955"/>
      <name val="Calibri"/>
      <family val="2"/>
      <scheme val="minor"/>
    </font>
    <font>
      <b/>
      <sz val="8"/>
      <color rgb="FFFF5955"/>
      <name val="Calibri"/>
      <family val="2"/>
      <scheme val="minor"/>
    </font>
    <font>
      <u/>
      <sz val="11"/>
      <color rgb="FFFF5955"/>
      <name val="Calibri"/>
      <family val="2"/>
      <scheme val="minor"/>
    </font>
    <font>
      <b/>
      <sz val="11"/>
      <color theme="4"/>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008DAB"/>
        <bgColor indexed="64"/>
      </patternFill>
    </fill>
    <fill>
      <patternFill patternType="solid">
        <fgColor rgb="FFFF5955"/>
        <bgColor indexed="64"/>
      </patternFill>
    </fill>
    <fill>
      <patternFill patternType="solid">
        <fgColor rgb="FF0076DA"/>
        <bgColor indexed="64"/>
      </patternFill>
    </fill>
    <fill>
      <patternFill patternType="solid">
        <fgColor rgb="FF79C2FF"/>
        <bgColor indexed="64"/>
      </patternFill>
    </fill>
  </fills>
  <borders count="79">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3">
    <xf numFmtId="0" fontId="0" fillId="0" borderId="0"/>
    <xf numFmtId="0" fontId="34" fillId="0" borderId="0" applyNumberFormat="0" applyFill="0" applyBorder="0" applyAlignment="0" applyProtection="0"/>
    <xf numFmtId="43" fontId="60" fillId="0" borderId="0" applyFont="0" applyFill="0" applyBorder="0" applyAlignment="0" applyProtection="0"/>
  </cellStyleXfs>
  <cellXfs count="636">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4" fontId="7" fillId="0" borderId="6" xfId="0" applyNumberFormat="1" applyFont="1" applyBorder="1" applyAlignment="1">
      <alignment vertical="top"/>
    </xf>
    <xf numFmtId="3" fontId="18" fillId="0" borderId="6" xfId="0" applyNumberFormat="1" applyFont="1" applyBorder="1"/>
    <xf numFmtId="4" fontId="8" fillId="3" borderId="6" xfId="0" applyNumberFormat="1" applyFont="1" applyFill="1" applyBorder="1" applyAlignment="1">
      <alignment vertical="top"/>
    </xf>
    <xf numFmtId="4" fontId="20"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1" fillId="0" borderId="22" xfId="0" applyNumberFormat="1" applyFont="1" applyBorder="1" applyAlignment="1">
      <alignment vertical="top"/>
    </xf>
    <xf numFmtId="4" fontId="22" fillId="0" borderId="30" xfId="0" applyNumberFormat="1" applyFont="1" applyBorder="1"/>
    <xf numFmtId="4" fontId="21"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3"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4" fontId="0" fillId="6" borderId="0" xfId="0" applyNumberFormat="1" applyFill="1"/>
    <xf numFmtId="4" fontId="0" fillId="6" borderId="0" xfId="0" applyNumberFormat="1" applyFill="1" applyAlignment="1">
      <alignment wrapText="1"/>
    </xf>
    <xf numFmtId="0" fontId="24" fillId="7" borderId="34" xfId="0" applyFont="1" applyFill="1" applyBorder="1" applyAlignment="1">
      <alignment vertical="center" wrapText="1"/>
    </xf>
    <xf numFmtId="0" fontId="24" fillId="7" borderId="35" xfId="0" applyFont="1" applyFill="1" applyBorder="1" applyAlignment="1">
      <alignment horizontal="center" vertical="center" wrapText="1"/>
    </xf>
    <xf numFmtId="0" fontId="24" fillId="7" borderId="35" xfId="0" applyFont="1" applyFill="1" applyBorder="1" applyAlignment="1">
      <alignment vertical="center" wrapText="1"/>
    </xf>
    <xf numFmtId="0" fontId="24" fillId="0" borderId="35" xfId="0" applyFont="1" applyBorder="1" applyAlignment="1">
      <alignment vertical="center"/>
    </xf>
    <xf numFmtId="0" fontId="21" fillId="0" borderId="0" xfId="0" applyFont="1" applyAlignment="1">
      <alignment vertical="center"/>
    </xf>
    <xf numFmtId="0" fontId="24" fillId="0" borderId="35" xfId="0" applyFont="1" applyBorder="1" applyAlignment="1">
      <alignment horizontal="center" vertical="center"/>
    </xf>
    <xf numFmtId="0" fontId="24" fillId="7" borderId="34" xfId="0" applyFont="1" applyFill="1" applyBorder="1" applyAlignment="1">
      <alignment vertical="center"/>
    </xf>
    <xf numFmtId="0" fontId="24" fillId="7" borderId="35" xfId="0" applyFont="1" applyFill="1" applyBorder="1" applyAlignment="1">
      <alignment vertical="center"/>
    </xf>
    <xf numFmtId="164" fontId="0" fillId="0" borderId="0" xfId="0" applyNumberFormat="1"/>
    <xf numFmtId="0" fontId="30" fillId="0" borderId="0" xfId="0" applyFont="1" applyAlignment="1">
      <alignment horizontal="center"/>
    </xf>
    <xf numFmtId="0" fontId="31" fillId="0" borderId="0" xfId="0" applyFont="1"/>
    <xf numFmtId="0" fontId="25" fillId="0" borderId="0" xfId="0" applyFont="1" applyAlignment="1">
      <alignment wrapText="1"/>
    </xf>
    <xf numFmtId="0" fontId="25" fillId="0" borderId="0" xfId="0" applyFont="1" applyAlignment="1">
      <alignment horizontal="center"/>
    </xf>
    <xf numFmtId="0" fontId="32" fillId="0" borderId="0" xfId="0" applyFont="1" applyAlignment="1">
      <alignment horizontal="center"/>
    </xf>
    <xf numFmtId="2" fontId="25" fillId="0" borderId="0" xfId="0" applyNumberFormat="1" applyFont="1" applyAlignment="1">
      <alignment horizontal="center"/>
    </xf>
    <xf numFmtId="165" fontId="25" fillId="0" borderId="0" xfId="0" applyNumberFormat="1" applyFont="1" applyAlignment="1">
      <alignment horizontal="center"/>
    </xf>
    <xf numFmtId="0" fontId="4" fillId="0" borderId="0" xfId="0" applyFont="1"/>
    <xf numFmtId="0" fontId="28" fillId="0" borderId="0" xfId="0" applyFont="1"/>
    <xf numFmtId="0" fontId="26" fillId="0" borderId="0" xfId="0" applyFont="1" applyAlignment="1">
      <alignment horizontal="center"/>
    </xf>
    <xf numFmtId="0" fontId="0" fillId="0" borderId="7" xfId="0" applyBorder="1"/>
    <xf numFmtId="0" fontId="34" fillId="0" borderId="0" xfId="1" applyFill="1" applyAlignment="1">
      <alignment wrapText="1"/>
    </xf>
    <xf numFmtId="0" fontId="27" fillId="0" borderId="0" xfId="0" applyFont="1" applyAlignment="1">
      <alignment horizontal="left" wrapText="1"/>
    </xf>
    <xf numFmtId="0" fontId="6" fillId="0" borderId="0" xfId="0" applyFont="1"/>
    <xf numFmtId="0" fontId="0" fillId="0" borderId="14" xfId="0" applyBorder="1"/>
    <xf numFmtId="0" fontId="8" fillId="0" borderId="0" xfId="0" applyFont="1" applyAlignment="1">
      <alignment vertical="center" wrapText="1"/>
    </xf>
    <xf numFmtId="0" fontId="5" fillId="0" borderId="0" xfId="0" applyFont="1"/>
    <xf numFmtId="0" fontId="35" fillId="0" borderId="0" xfId="0" applyFont="1" applyAlignment="1">
      <alignment horizontal="left" vertical="center" indent="5"/>
    </xf>
    <xf numFmtId="0" fontId="28" fillId="0" borderId="0" xfId="0" applyFont="1" applyAlignment="1">
      <alignment horizontal="right"/>
    </xf>
    <xf numFmtId="0" fontId="37"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left"/>
    </xf>
    <xf numFmtId="0" fontId="0" fillId="0" borderId="0" xfId="0" applyAlignment="1">
      <alignment horizontal="center"/>
    </xf>
    <xf numFmtId="0" fontId="0" fillId="0" borderId="62" xfId="0" applyBorder="1"/>
    <xf numFmtId="0" fontId="27" fillId="0" borderId="0" xfId="0" applyFont="1" applyAlignment="1">
      <alignment horizontal="center" vertical="center"/>
    </xf>
    <xf numFmtId="0" fontId="41" fillId="7" borderId="22" xfId="0" applyFont="1" applyFill="1" applyBorder="1" applyAlignment="1">
      <alignment vertical="center" wrapText="1"/>
    </xf>
    <xf numFmtId="0" fontId="41" fillId="7" borderId="23" xfId="0" applyFont="1" applyFill="1" applyBorder="1" applyAlignment="1">
      <alignment horizontal="center" vertical="center" wrapText="1"/>
    </xf>
    <xf numFmtId="0" fontId="41" fillId="7" borderId="23" xfId="0" applyFont="1" applyFill="1" applyBorder="1" applyAlignment="1">
      <alignment horizontal="left" vertical="center" wrapText="1"/>
    </xf>
    <xf numFmtId="0" fontId="41" fillId="7" borderId="12" xfId="0" applyFont="1" applyFill="1" applyBorder="1" applyAlignment="1">
      <alignment horizontal="center" vertical="center" wrapText="1"/>
    </xf>
    <xf numFmtId="0" fontId="0" fillId="7" borderId="0" xfId="0" applyFill="1" applyAlignment="1">
      <alignment vertical="center" wrapText="1"/>
    </xf>
    <xf numFmtId="0" fontId="41" fillId="0" borderId="12" xfId="0" applyFont="1" applyBorder="1" applyAlignment="1">
      <alignment horizontal="left" vertical="center"/>
    </xf>
    <xf numFmtId="0" fontId="42" fillId="0" borderId="0" xfId="0" applyFont="1" applyAlignment="1">
      <alignment vertical="center"/>
    </xf>
    <xf numFmtId="0" fontId="41" fillId="7" borderId="10" xfId="0" applyFont="1" applyFill="1" applyBorder="1" applyAlignment="1">
      <alignment vertical="center" wrapText="1"/>
    </xf>
    <xf numFmtId="0" fontId="41" fillId="7" borderId="0" xfId="0" applyFont="1" applyFill="1" applyAlignment="1">
      <alignment vertical="center" wrapText="1"/>
    </xf>
    <xf numFmtId="0" fontId="41" fillId="7" borderId="0" xfId="0" applyFont="1" applyFill="1" applyAlignment="1">
      <alignment horizontal="center" vertical="center" wrapText="1"/>
    </xf>
    <xf numFmtId="0" fontId="0" fillId="0" borderId="0" xfId="0" applyAlignment="1">
      <alignment vertical="center" wrapText="1"/>
    </xf>
    <xf numFmtId="0" fontId="28" fillId="0" borderId="0" xfId="0" applyFont="1" applyAlignment="1">
      <alignment horizontal="left" vertical="center" indent="9"/>
    </xf>
    <xf numFmtId="4" fontId="0" fillId="0" borderId="35" xfId="0" applyNumberFormat="1" applyBorder="1" applyAlignment="1">
      <alignment horizontal="right" vertical="center"/>
    </xf>
    <xf numFmtId="0" fontId="28" fillId="0" borderId="0" xfId="0" applyFont="1" applyAlignment="1">
      <alignment horizontal="left" vertical="center" indent="5"/>
    </xf>
    <xf numFmtId="0" fontId="5" fillId="0" borderId="0" xfId="0" applyFont="1" applyAlignment="1">
      <alignment vertical="center"/>
    </xf>
    <xf numFmtId="0" fontId="5" fillId="0" borderId="51" xfId="0" applyFont="1" applyBorder="1" applyAlignment="1">
      <alignment vertical="center"/>
    </xf>
    <xf numFmtId="0" fontId="0" fillId="0" borderId="39" xfId="0" applyBorder="1"/>
    <xf numFmtId="0" fontId="0" fillId="0" borderId="40" xfId="0" applyBorder="1"/>
    <xf numFmtId="0" fontId="0" fillId="0" borderId="13" xfId="0" applyBorder="1" applyAlignment="1">
      <alignment vertical="center"/>
    </xf>
    <xf numFmtId="0" fontId="0" fillId="0" borderId="62" xfId="0" applyBorder="1" applyAlignment="1">
      <alignment vertical="center"/>
    </xf>
    <xf numFmtId="0" fontId="0" fillId="0" borderId="41" xfId="0" applyBorder="1" applyAlignment="1">
      <alignment vertical="center"/>
    </xf>
    <xf numFmtId="0" fontId="0" fillId="0" borderId="41" xfId="0" applyBorder="1" applyAlignment="1">
      <alignment vertical="center" wrapText="1"/>
    </xf>
    <xf numFmtId="0" fontId="0" fillId="0" borderId="41" xfId="0" applyBorder="1"/>
    <xf numFmtId="0" fontId="37" fillId="0" borderId="0" xfId="0" applyFont="1" applyAlignment="1">
      <alignment vertical="center"/>
    </xf>
    <xf numFmtId="0" fontId="0" fillId="0" borderId="0" xfId="0" applyAlignment="1">
      <alignment vertical="center"/>
    </xf>
    <xf numFmtId="0" fontId="46" fillId="0" borderId="0" xfId="0" applyFont="1" applyAlignment="1">
      <alignment vertical="center"/>
    </xf>
    <xf numFmtId="0" fontId="5" fillId="0" borderId="0" xfId="0" applyFont="1" applyAlignment="1">
      <alignment vertical="center" wrapText="1"/>
    </xf>
    <xf numFmtId="8" fontId="5" fillId="0" borderId="35" xfId="0" applyNumberFormat="1" applyFont="1" applyBorder="1" applyAlignment="1">
      <alignment horizontal="right" vertical="center" wrapText="1"/>
    </xf>
    <xf numFmtId="0" fontId="0" fillId="0" borderId="41" xfId="0" applyBorder="1" applyAlignment="1">
      <alignment horizontal="center" vertical="center"/>
    </xf>
    <xf numFmtId="0" fontId="0" fillId="0" borderId="6" xfId="0" applyBorder="1"/>
    <xf numFmtId="0" fontId="0" fillId="0" borderId="0" xfId="0" applyAlignment="1">
      <alignment horizontal="center" vertical="center" wrapText="1"/>
    </xf>
    <xf numFmtId="8" fontId="5" fillId="0" borderId="0" xfId="0" applyNumberFormat="1" applyFont="1" applyAlignment="1">
      <alignment horizontal="right" vertical="center" wrapText="1"/>
    </xf>
    <xf numFmtId="8" fontId="5" fillId="0" borderId="62" xfId="0" applyNumberFormat="1" applyFont="1" applyBorder="1" applyAlignment="1">
      <alignment horizontal="center" vertical="center" wrapText="1"/>
    </xf>
    <xf numFmtId="8" fontId="5" fillId="0" borderId="62" xfId="0" applyNumberFormat="1" applyFont="1" applyBorder="1" applyAlignment="1">
      <alignment horizontal="right" vertical="center" wrapText="1"/>
    </xf>
    <xf numFmtId="0" fontId="35" fillId="0" borderId="0" xfId="0" applyFont="1" applyAlignment="1">
      <alignment vertical="center"/>
    </xf>
    <xf numFmtId="0" fontId="0" fillId="0" borderId="0" xfId="0" applyAlignment="1">
      <alignment horizontal="left" vertical="center" indent="5"/>
    </xf>
    <xf numFmtId="0" fontId="44" fillId="10" borderId="6" xfId="0" applyFont="1" applyFill="1" applyBorder="1" applyAlignment="1">
      <alignment horizontal="center" vertical="center" wrapText="1"/>
    </xf>
    <xf numFmtId="0" fontId="49" fillId="0" borderId="0" xfId="0" applyFont="1" applyAlignment="1">
      <alignment horizontal="center" vertical="center"/>
    </xf>
    <xf numFmtId="0" fontId="0" fillId="0" borderId="30" xfId="0" applyBorder="1"/>
    <xf numFmtId="4" fontId="0" fillId="0" borderId="41" xfId="0" applyNumberFormat="1" applyBorder="1" applyAlignment="1">
      <alignment horizontal="center" vertical="center"/>
    </xf>
    <xf numFmtId="166" fontId="0" fillId="0" borderId="41" xfId="0" applyNumberFormat="1" applyBorder="1" applyAlignment="1">
      <alignment horizontal="center" vertical="center"/>
    </xf>
    <xf numFmtId="4" fontId="0" fillId="3" borderId="56" xfId="0" applyNumberFormat="1" applyFill="1" applyBorder="1" applyAlignment="1">
      <alignment horizontal="center" vertical="center"/>
    </xf>
    <xf numFmtId="4" fontId="0" fillId="0" borderId="56" xfId="0" applyNumberFormat="1" applyBorder="1" applyAlignment="1">
      <alignment horizontal="center" vertical="center"/>
    </xf>
    <xf numFmtId="0" fontId="0" fillId="0" borderId="56" xfId="0" applyBorder="1" applyAlignment="1">
      <alignment horizontal="center" vertical="center"/>
    </xf>
    <xf numFmtId="3" fontId="0" fillId="0" borderId="56" xfId="0" applyNumberFormat="1" applyBorder="1" applyAlignment="1">
      <alignment horizontal="center" vertical="center"/>
    </xf>
    <xf numFmtId="8" fontId="0" fillId="0" borderId="61" xfId="0" applyNumberFormat="1" applyBorder="1" applyAlignment="1">
      <alignment horizontal="right" vertical="center" wrapText="1"/>
    </xf>
    <xf numFmtId="164" fontId="0" fillId="0" borderId="61" xfId="0" applyNumberFormat="1" applyBorder="1" applyAlignment="1">
      <alignment horizontal="right" vertical="center" wrapText="1"/>
    </xf>
    <xf numFmtId="8" fontId="5" fillId="0" borderId="61" xfId="0" applyNumberFormat="1" applyFont="1" applyBorder="1" applyAlignment="1">
      <alignment horizontal="right" vertical="center" wrapText="1"/>
    </xf>
    <xf numFmtId="0" fontId="0" fillId="0" borderId="62" xfId="0" applyBorder="1" applyAlignment="1">
      <alignment horizontal="center" vertical="center" wrapText="1"/>
    </xf>
    <xf numFmtId="164" fontId="0" fillId="0" borderId="66" xfId="0" applyNumberFormat="1" applyBorder="1" applyAlignment="1">
      <alignment horizontal="right" vertical="center" wrapText="1"/>
    </xf>
    <xf numFmtId="0" fontId="48" fillId="0" borderId="0" xfId="0" applyFont="1" applyAlignment="1">
      <alignment horizontal="left" vertical="center"/>
    </xf>
    <xf numFmtId="0" fontId="0" fillId="0" borderId="0" xfId="0" applyAlignment="1">
      <alignment horizontal="left"/>
    </xf>
    <xf numFmtId="4" fontId="4" fillId="0" borderId="67" xfId="0" applyNumberFormat="1" applyFont="1" applyBorder="1" applyAlignment="1">
      <alignment vertical="center"/>
    </xf>
    <xf numFmtId="4" fontId="42" fillId="0" borderId="67" xfId="0" applyNumberFormat="1" applyFont="1" applyBorder="1" applyAlignment="1">
      <alignment horizontal="right" vertical="center"/>
    </xf>
    <xf numFmtId="4" fontId="0" fillId="0" borderId="62" xfId="0" applyNumberFormat="1" applyBorder="1" applyAlignment="1">
      <alignment horizontal="right" vertical="center"/>
    </xf>
    <xf numFmtId="4" fontId="0" fillId="0" borderId="68" xfId="0" applyNumberFormat="1" applyBorder="1" applyAlignment="1">
      <alignment horizontal="right" vertical="center"/>
    </xf>
    <xf numFmtId="0" fontId="49" fillId="0" borderId="0" xfId="0" applyFont="1" applyAlignment="1">
      <alignment vertical="center"/>
    </xf>
    <xf numFmtId="0" fontId="49" fillId="0" borderId="0" xfId="0" applyFont="1" applyAlignment="1">
      <alignment horizontal="left"/>
    </xf>
    <xf numFmtId="4" fontId="0" fillId="0" borderId="71" xfId="0" applyNumberFormat="1" applyBorder="1" applyAlignment="1">
      <alignment horizontal="right" vertical="center"/>
    </xf>
    <xf numFmtId="0" fontId="0" fillId="0" borderId="71" xfId="0" applyBorder="1"/>
    <xf numFmtId="0" fontId="41" fillId="7" borderId="0" xfId="0" applyFont="1" applyFill="1" applyAlignment="1">
      <alignment horizontal="left" vertical="center" wrapText="1"/>
    </xf>
    <xf numFmtId="0" fontId="41" fillId="7" borderId="73" xfId="0" applyFont="1" applyFill="1" applyBorder="1" applyAlignment="1">
      <alignment horizontal="center" vertical="center" wrapText="1"/>
    </xf>
    <xf numFmtId="0" fontId="8" fillId="0" borderId="0" xfId="0" applyFont="1" applyAlignment="1">
      <alignment vertical="center"/>
    </xf>
    <xf numFmtId="0" fontId="21" fillId="0" borderId="0" xfId="0" applyFont="1" applyAlignment="1">
      <alignment vertical="center" wrapText="1"/>
    </xf>
    <xf numFmtId="0" fontId="7" fillId="0" borderId="0" xfId="0" applyFont="1" applyAlignment="1">
      <alignment vertical="center" wrapText="1"/>
    </xf>
    <xf numFmtId="8" fontId="8" fillId="0" borderId="0" xfId="0" applyNumberFormat="1" applyFont="1" applyAlignment="1">
      <alignment horizontal="right" vertical="center" wrapText="1"/>
    </xf>
    <xf numFmtId="0" fontId="21" fillId="0" borderId="0" xfId="0" applyFont="1" applyAlignment="1">
      <alignment horizontal="center" vertical="center" wrapText="1"/>
    </xf>
    <xf numFmtId="8" fontId="21" fillId="0" borderId="0" xfId="0" applyNumberFormat="1" applyFont="1" applyAlignment="1">
      <alignment horizontal="right" vertical="center" wrapText="1"/>
    </xf>
    <xf numFmtId="0" fontId="51" fillId="0" borderId="0" xfId="0" applyFont="1" applyAlignment="1">
      <alignment vertical="center" wrapText="1"/>
    </xf>
    <xf numFmtId="8" fontId="51" fillId="0" borderId="0" xfId="0" applyNumberFormat="1" applyFont="1" applyAlignment="1">
      <alignment horizontal="right" vertical="center" wrapText="1"/>
    </xf>
    <xf numFmtId="164" fontId="5" fillId="0" borderId="35" xfId="0" applyNumberFormat="1" applyFont="1" applyBorder="1"/>
    <xf numFmtId="0" fontId="0" fillId="0" borderId="56" xfId="0" applyBorder="1"/>
    <xf numFmtId="4" fontId="0" fillId="0" borderId="56" xfId="0" applyNumberFormat="1" applyBorder="1"/>
    <xf numFmtId="0" fontId="0" fillId="0" borderId="56" xfId="0" applyBorder="1" applyAlignment="1">
      <alignment horizontal="center"/>
    </xf>
    <xf numFmtId="164" fontId="0" fillId="0" borderId="66" xfId="0" applyNumberFormat="1" applyBorder="1"/>
    <xf numFmtId="4" fontId="0" fillId="0" borderId="41" xfId="0" applyNumberFormat="1" applyBorder="1"/>
    <xf numFmtId="0" fontId="0" fillId="0" borderId="41" xfId="0" applyBorder="1" applyAlignment="1">
      <alignment horizontal="center"/>
    </xf>
    <xf numFmtId="164" fontId="0" fillId="0" borderId="61" xfId="0" applyNumberFormat="1" applyBorder="1"/>
    <xf numFmtId="164" fontId="5" fillId="0" borderId="61" xfId="0" applyNumberFormat="1" applyFont="1" applyBorder="1"/>
    <xf numFmtId="0" fontId="0" fillId="0" borderId="27" xfId="0" applyBorder="1" applyAlignment="1">
      <alignment horizontal="right"/>
    </xf>
    <xf numFmtId="0" fontId="0" fillId="0" borderId="19" xfId="0" applyBorder="1"/>
    <xf numFmtId="164" fontId="0" fillId="0" borderId="14" xfId="0" applyNumberFormat="1" applyBorder="1" applyAlignment="1">
      <alignment horizontal="right"/>
    </xf>
    <xf numFmtId="4" fontId="5" fillId="0" borderId="0" xfId="0" applyNumberFormat="1" applyFont="1" applyAlignment="1">
      <alignment vertical="center" wrapText="1"/>
    </xf>
    <xf numFmtId="0" fontId="0" fillId="0" borderId="36" xfId="0" applyBorder="1" applyAlignment="1">
      <alignment horizontal="right" vertical="center" wrapText="1"/>
    </xf>
    <xf numFmtId="8" fontId="0" fillId="0" borderId="19" xfId="0" applyNumberFormat="1" applyBorder="1" applyAlignment="1">
      <alignment horizontal="right" vertical="center" wrapText="1"/>
    </xf>
    <xf numFmtId="8" fontId="0" fillId="0" borderId="69" xfId="0" applyNumberFormat="1" applyBorder="1" applyAlignment="1">
      <alignment horizontal="right" vertical="center" wrapText="1"/>
    </xf>
    <xf numFmtId="8" fontId="0" fillId="0" borderId="69" xfId="0" applyNumberFormat="1" applyBorder="1" applyAlignment="1">
      <alignment vertical="center" wrapText="1"/>
    </xf>
    <xf numFmtId="0" fontId="0" fillId="0" borderId="35" xfId="0" applyBorder="1" applyAlignment="1">
      <alignment horizontal="right" vertical="center" wrapText="1"/>
    </xf>
    <xf numFmtId="0" fontId="0" fillId="0" borderId="11" xfId="0" applyBorder="1"/>
    <xf numFmtId="8" fontId="54" fillId="3" borderId="23" xfId="0" applyNumberFormat="1" applyFont="1" applyFill="1" applyBorder="1" applyAlignment="1">
      <alignment vertical="center"/>
    </xf>
    <xf numFmtId="0" fontId="54" fillId="3" borderId="22" xfId="0" applyFont="1" applyFill="1" applyBorder="1" applyAlignment="1">
      <alignment vertical="center"/>
    </xf>
    <xf numFmtId="0" fontId="54" fillId="3" borderId="10" xfId="0" applyFont="1" applyFill="1" applyBorder="1" applyAlignment="1">
      <alignment vertical="center"/>
    </xf>
    <xf numFmtId="8" fontId="54" fillId="3" borderId="12" xfId="0" applyNumberFormat="1" applyFont="1" applyFill="1" applyBorder="1" applyAlignment="1">
      <alignment vertical="center"/>
    </xf>
    <xf numFmtId="0" fontId="43" fillId="0" borderId="0" xfId="0" applyFont="1" applyAlignment="1">
      <alignment horizontal="center" vertical="center"/>
    </xf>
    <xf numFmtId="4" fontId="0" fillId="0" borderId="22" xfId="0" applyNumberFormat="1" applyBorder="1" applyAlignment="1">
      <alignment vertical="center"/>
    </xf>
    <xf numFmtId="4" fontId="42" fillId="0" borderId="6" xfId="0" applyNumberFormat="1" applyFont="1" applyBorder="1" applyAlignment="1">
      <alignment horizontal="right" vertical="center"/>
    </xf>
    <xf numFmtId="4" fontId="42" fillId="0" borderId="37" xfId="0" applyNumberFormat="1" applyFont="1" applyBorder="1" applyAlignment="1">
      <alignment horizontal="right" vertical="center"/>
    </xf>
    <xf numFmtId="4" fontId="42" fillId="0" borderId="61" xfId="0" applyNumberFormat="1" applyFont="1" applyBorder="1" applyAlignment="1">
      <alignment horizontal="right" vertical="center"/>
    </xf>
    <xf numFmtId="4" fontId="42" fillId="0" borderId="22" xfId="0" applyNumberFormat="1" applyFont="1" applyBorder="1" applyAlignment="1">
      <alignment vertical="center"/>
    </xf>
    <xf numFmtId="4" fontId="0" fillId="0" borderId="76" xfId="0" applyNumberFormat="1" applyBorder="1" applyAlignment="1">
      <alignment horizontal="right" vertical="center"/>
    </xf>
    <xf numFmtId="4" fontId="0" fillId="0" borderId="30" xfId="0" applyNumberFormat="1" applyBorder="1"/>
    <xf numFmtId="4" fontId="0" fillId="0" borderId="29" xfId="0" applyNumberFormat="1" applyBorder="1" applyAlignment="1">
      <alignment horizontal="right" vertical="center"/>
    </xf>
    <xf numFmtId="4" fontId="0" fillId="0" borderId="31" xfId="0" applyNumberFormat="1" applyBorder="1" applyAlignment="1">
      <alignment horizontal="right" vertical="center"/>
    </xf>
    <xf numFmtId="4" fontId="0" fillId="0" borderId="30" xfId="0" applyNumberFormat="1" applyBorder="1" applyAlignment="1">
      <alignment horizontal="right" vertical="center"/>
    </xf>
    <xf numFmtId="4" fontId="0" fillId="0" borderId="72" xfId="0" applyNumberFormat="1" applyBorder="1" applyAlignment="1">
      <alignment horizontal="right" vertical="center"/>
    </xf>
    <xf numFmtId="4" fontId="4" fillId="0" borderId="22" xfId="0" applyNumberFormat="1" applyFont="1" applyBorder="1" applyAlignment="1">
      <alignment horizontal="right" vertical="center"/>
    </xf>
    <xf numFmtId="4" fontId="0" fillId="0" borderId="36" xfId="0" applyNumberFormat="1" applyBorder="1" applyAlignment="1">
      <alignment horizontal="right" vertical="center"/>
    </xf>
    <xf numFmtId="4" fontId="0" fillId="0" borderId="37" xfId="0" applyNumberFormat="1" applyBorder="1" applyAlignment="1">
      <alignment horizontal="right" vertical="center"/>
    </xf>
    <xf numFmtId="4" fontId="0" fillId="0" borderId="41" xfId="0" applyNumberFormat="1" applyBorder="1" applyAlignment="1">
      <alignment horizontal="right" vertical="center"/>
    </xf>
    <xf numFmtId="4" fontId="0" fillId="0" borderId="61" xfId="0" applyNumberFormat="1" applyBorder="1" applyAlignment="1">
      <alignment horizontal="right" vertical="center"/>
    </xf>
    <xf numFmtId="4" fontId="0" fillId="0" borderId="60" xfId="0" applyNumberFormat="1" applyBorder="1" applyAlignment="1">
      <alignment horizontal="right" vertical="center"/>
    </xf>
    <xf numFmtId="4" fontId="0" fillId="0" borderId="22" xfId="0" applyNumberFormat="1" applyBorder="1" applyAlignment="1">
      <alignment horizontal="right" vertical="center"/>
    </xf>
    <xf numFmtId="4" fontId="42" fillId="0" borderId="22" xfId="0" applyNumberFormat="1" applyFont="1" applyBorder="1" applyAlignment="1">
      <alignment horizontal="right" vertical="center"/>
    </xf>
    <xf numFmtId="8" fontId="0" fillId="0" borderId="41" xfId="0" applyNumberFormat="1" applyBorder="1" applyAlignment="1">
      <alignment horizontal="center" vertical="center" wrapText="1"/>
    </xf>
    <xf numFmtId="0" fontId="0" fillId="0" borderId="41" xfId="0" applyBorder="1" applyAlignment="1">
      <alignment horizontal="left" vertical="center" wrapText="1"/>
    </xf>
    <xf numFmtId="0" fontId="0" fillId="0" borderId="41" xfId="0" applyBorder="1" applyAlignment="1">
      <alignment horizontal="center" vertical="center" wrapText="1"/>
    </xf>
    <xf numFmtId="0" fontId="0" fillId="0" borderId="41" xfId="0" applyBorder="1" applyAlignment="1">
      <alignment horizontal="left"/>
    </xf>
    <xf numFmtId="8" fontId="0" fillId="0" borderId="41" xfId="0" applyNumberFormat="1" applyBorder="1" applyAlignment="1">
      <alignment horizontal="right" vertical="center" wrapText="1"/>
    </xf>
    <xf numFmtId="164" fontId="0" fillId="0" borderId="41" xfId="0" applyNumberFormat="1" applyBorder="1" applyAlignment="1">
      <alignment vertical="center" wrapText="1"/>
    </xf>
    <xf numFmtId="8" fontId="5" fillId="0" borderId="41" xfId="0" applyNumberFormat="1" applyFont="1" applyBorder="1" applyAlignment="1">
      <alignment horizontal="center" vertical="center" wrapText="1"/>
    </xf>
    <xf numFmtId="8" fontId="5" fillId="0" borderId="41" xfId="0" applyNumberFormat="1" applyFont="1" applyBorder="1" applyAlignment="1">
      <alignment horizontal="right" vertical="center" wrapText="1"/>
    </xf>
    <xf numFmtId="0" fontId="0" fillId="0" borderId="60" xfId="0" applyBorder="1" applyAlignment="1">
      <alignment horizontal="left"/>
    </xf>
    <xf numFmtId="164" fontId="0" fillId="0" borderId="41" xfId="0" applyNumberFormat="1" applyBorder="1"/>
    <xf numFmtId="0" fontId="5" fillId="0" borderId="60" xfId="0" applyFont="1" applyBorder="1"/>
    <xf numFmtId="0" fontId="40" fillId="3" borderId="0" xfId="0" applyFont="1" applyFill="1" applyAlignment="1">
      <alignment horizontal="center" vertical="center" wrapText="1"/>
    </xf>
    <xf numFmtId="164" fontId="0" fillId="0" borderId="41" xfId="0" applyNumberFormat="1" applyBorder="1" applyAlignment="1">
      <alignment horizontal="right" vertical="center" wrapText="1"/>
    </xf>
    <xf numFmtId="8" fontId="0" fillId="0" borderId="72" xfId="0" applyNumberFormat="1" applyBorder="1" applyAlignment="1">
      <alignment horizontal="right" vertical="center" wrapText="1"/>
    </xf>
    <xf numFmtId="4" fontId="55" fillId="0" borderId="0" xfId="0" applyNumberFormat="1" applyFont="1"/>
    <xf numFmtId="4" fontId="56" fillId="0" borderId="0" xfId="0" applyNumberFormat="1" applyFont="1"/>
    <xf numFmtId="4" fontId="56" fillId="0" borderId="0" xfId="0" applyNumberFormat="1" applyFont="1" applyAlignment="1">
      <alignment horizontal="right"/>
    </xf>
    <xf numFmtId="4" fontId="56" fillId="2" borderId="1" xfId="0" applyNumberFormat="1" applyFont="1" applyFill="1" applyBorder="1" applyAlignment="1">
      <alignment horizontal="left"/>
    </xf>
    <xf numFmtId="4" fontId="56" fillId="2" borderId="0" xfId="0" applyNumberFormat="1" applyFont="1" applyFill="1" applyAlignment="1">
      <alignment horizontal="center"/>
    </xf>
    <xf numFmtId="4" fontId="56" fillId="2" borderId="44" xfId="0" applyNumberFormat="1" applyFont="1" applyFill="1" applyBorder="1" applyAlignment="1">
      <alignment horizontal="center"/>
    </xf>
    <xf numFmtId="4" fontId="56" fillId="2" borderId="2" xfId="0" applyNumberFormat="1" applyFont="1" applyFill="1" applyBorder="1" applyAlignment="1">
      <alignment horizontal="left"/>
    </xf>
    <xf numFmtId="4" fontId="56" fillId="2" borderId="3" xfId="0" applyNumberFormat="1" applyFont="1" applyFill="1" applyBorder="1" applyAlignment="1">
      <alignment horizontal="center"/>
    </xf>
    <xf numFmtId="3" fontId="56" fillId="2" borderId="38" xfId="0" applyNumberFormat="1" applyFont="1" applyFill="1" applyBorder="1" applyAlignment="1">
      <alignment horizontal="center"/>
    </xf>
    <xf numFmtId="3" fontId="56" fillId="2" borderId="38" xfId="0" applyNumberFormat="1" applyFont="1" applyFill="1" applyBorder="1" applyAlignment="1">
      <alignment horizontal="right"/>
    </xf>
    <xf numFmtId="3" fontId="56" fillId="2" borderId="0" xfId="0" applyNumberFormat="1" applyFont="1" applyFill="1" applyAlignment="1">
      <alignment horizontal="right"/>
    </xf>
    <xf numFmtId="4" fontId="56" fillId="2" borderId="2" xfId="0" applyNumberFormat="1" applyFont="1" applyFill="1" applyBorder="1" applyAlignment="1">
      <alignment horizontal="center"/>
    </xf>
    <xf numFmtId="3" fontId="56" fillId="2" borderId="4" xfId="0" applyNumberFormat="1" applyFont="1" applyFill="1" applyBorder="1"/>
    <xf numFmtId="37" fontId="56" fillId="0" borderId="0" xfId="0" applyNumberFormat="1" applyFont="1"/>
    <xf numFmtId="3" fontId="59" fillId="8" borderId="6" xfId="0" applyNumberFormat="1" applyFont="1" applyFill="1" applyBorder="1"/>
    <xf numFmtId="3" fontId="56" fillId="2" borderId="6" xfId="0" applyNumberFormat="1" applyFont="1" applyFill="1" applyBorder="1"/>
    <xf numFmtId="39" fontId="56" fillId="0" borderId="0" xfId="0" applyNumberFormat="1" applyFont="1"/>
    <xf numFmtId="4" fontId="59" fillId="8" borderId="6" xfId="0" applyNumberFormat="1" applyFont="1" applyFill="1" applyBorder="1"/>
    <xf numFmtId="167" fontId="56" fillId="0" borderId="27" xfId="0" applyNumberFormat="1" applyFont="1" applyBorder="1"/>
    <xf numFmtId="167" fontId="56" fillId="0" borderId="0" xfId="0" applyNumberFormat="1" applyFont="1"/>
    <xf numFmtId="3" fontId="56" fillId="2" borderId="5" xfId="0" applyNumberFormat="1" applyFont="1" applyFill="1" applyBorder="1"/>
    <xf numFmtId="4" fontId="0" fillId="3" borderId="0" xfId="0" applyNumberFormat="1" applyFill="1"/>
    <xf numFmtId="4" fontId="56" fillId="2" borderId="5" xfId="0" quotePrefix="1" applyNumberFormat="1" applyFont="1" applyFill="1" applyBorder="1" applyAlignment="1">
      <alignment horizontal="right"/>
    </xf>
    <xf numFmtId="3" fontId="56" fillId="2" borderId="6" xfId="0" quotePrefix="1" applyNumberFormat="1" applyFont="1" applyFill="1" applyBorder="1" applyAlignment="1">
      <alignment horizontal="right"/>
    </xf>
    <xf numFmtId="4" fontId="56"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44" fillId="10" borderId="6" xfId="0" applyFont="1" applyFill="1" applyBorder="1" applyAlignment="1">
      <alignment vertical="center" wrapText="1"/>
    </xf>
    <xf numFmtId="39" fontId="56" fillId="0" borderId="6" xfId="0" applyNumberFormat="1" applyFont="1" applyBorder="1"/>
    <xf numFmtId="0" fontId="44" fillId="3" borderId="41" xfId="0" applyFont="1" applyFill="1" applyBorder="1" applyAlignment="1">
      <alignment horizontal="center" vertical="center" wrapText="1"/>
    </xf>
    <xf numFmtId="2" fontId="4" fillId="3" borderId="22"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37" fontId="0" fillId="0" borderId="6" xfId="0" applyNumberFormat="1" applyBorder="1"/>
    <xf numFmtId="37" fontId="0" fillId="0" borderId="23" xfId="0" applyNumberFormat="1" applyBorder="1"/>
    <xf numFmtId="37" fontId="0" fillId="0" borderId="12" xfId="0" applyNumberFormat="1" applyBorder="1"/>
    <xf numFmtId="39" fontId="0" fillId="0" borderId="23"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0" fontId="0" fillId="6" borderId="0" xfId="0" applyFill="1"/>
    <xf numFmtId="37" fontId="16" fillId="0" borderId="27" xfId="0" applyNumberFormat="1" applyFont="1" applyBorder="1"/>
    <xf numFmtId="37" fontId="16" fillId="0" borderId="0" xfId="0" applyNumberFormat="1" applyFont="1"/>
    <xf numFmtId="37" fontId="16" fillId="0" borderId="28" xfId="0" applyNumberFormat="1" applyFont="1" applyBorder="1"/>
    <xf numFmtId="37" fontId="16" fillId="0" borderId="29" xfId="0" applyNumberFormat="1" applyFont="1" applyBorder="1"/>
    <xf numFmtId="37" fontId="16" fillId="0" borderId="30" xfId="0" applyNumberFormat="1" applyFont="1" applyBorder="1"/>
    <xf numFmtId="37" fontId="16" fillId="0" borderId="31" xfId="0" applyNumberFormat="1" applyFont="1" applyBorder="1"/>
    <xf numFmtId="39" fontId="16" fillId="0" borderId="27" xfId="0" applyNumberFormat="1" applyFont="1" applyBorder="1"/>
    <xf numFmtId="39" fontId="16" fillId="0" borderId="0" xfId="0" applyNumberFormat="1" applyFont="1"/>
    <xf numFmtId="39" fontId="16" fillId="0" borderId="29" xfId="0" applyNumberFormat="1" applyFont="1" applyBorder="1"/>
    <xf numFmtId="39" fontId="16" fillId="0" borderId="30" xfId="0" applyNumberFormat="1" applyFont="1" applyBorder="1"/>
    <xf numFmtId="37" fontId="2" fillId="0" borderId="27" xfId="0" applyNumberFormat="1" applyFont="1" applyBorder="1"/>
    <xf numFmtId="37" fontId="2" fillId="0" borderId="0" xfId="0" applyNumberFormat="1" applyFont="1"/>
    <xf numFmtId="37" fontId="2" fillId="0" borderId="28" xfId="0" applyNumberFormat="1" applyFont="1" applyBorder="1"/>
    <xf numFmtId="37" fontId="2" fillId="0" borderId="29" xfId="0" applyNumberFormat="1" applyFont="1" applyBorder="1"/>
    <xf numFmtId="37" fontId="2" fillId="0" borderId="30" xfId="0" applyNumberFormat="1" applyFont="1" applyBorder="1"/>
    <xf numFmtId="37" fontId="2" fillId="0" borderId="31" xfId="0" applyNumberFormat="1" applyFont="1" applyBorder="1"/>
    <xf numFmtId="0" fontId="58" fillId="3" borderId="6" xfId="0" applyFont="1" applyFill="1" applyBorder="1" applyAlignment="1">
      <alignment vertical="center"/>
    </xf>
    <xf numFmtId="8" fontId="58" fillId="3" borderId="6" xfId="0" applyNumberFormat="1" applyFont="1" applyFill="1" applyBorder="1" applyAlignment="1">
      <alignment vertical="center"/>
    </xf>
    <xf numFmtId="37" fontId="56" fillId="0" borderId="6" xfId="0" applyNumberFormat="1" applyFont="1" applyBorder="1"/>
    <xf numFmtId="164" fontId="56" fillId="0" borderId="6" xfId="0" applyNumberFormat="1" applyFont="1" applyBorder="1"/>
    <xf numFmtId="0" fontId="57" fillId="3" borderId="7" xfId="0" applyFont="1" applyFill="1" applyBorder="1" applyAlignment="1">
      <alignment horizontal="center" vertical="center"/>
    </xf>
    <xf numFmtId="0" fontId="57" fillId="3" borderId="8" xfId="0" applyFont="1" applyFill="1" applyBorder="1" applyAlignment="1">
      <alignment horizontal="center" vertical="center"/>
    </xf>
    <xf numFmtId="0" fontId="57" fillId="3" borderId="9" xfId="0" applyFont="1" applyFill="1" applyBorder="1" applyAlignment="1">
      <alignment horizontal="center" vertical="center"/>
    </xf>
    <xf numFmtId="0" fontId="58" fillId="3" borderId="22" xfId="0" applyFont="1" applyFill="1" applyBorder="1" applyAlignment="1">
      <alignment vertical="center"/>
    </xf>
    <xf numFmtId="8" fontId="58" fillId="3" borderId="23" xfId="0" applyNumberFormat="1" applyFont="1" applyFill="1" applyBorder="1" applyAlignment="1">
      <alignment vertical="center"/>
    </xf>
    <xf numFmtId="37" fontId="56" fillId="0" borderId="22" xfId="0" applyNumberFormat="1" applyFont="1" applyBorder="1"/>
    <xf numFmtId="37" fontId="56" fillId="0" borderId="10" xfId="0" applyNumberFormat="1" applyFont="1" applyBorder="1" applyAlignment="1">
      <alignment wrapText="1"/>
    </xf>
    <xf numFmtId="37" fontId="56" fillId="0" borderId="11" xfId="0" applyNumberFormat="1" applyFont="1" applyBorder="1"/>
    <xf numFmtId="164" fontId="56" fillId="0" borderId="11" xfId="0" applyNumberFormat="1" applyFont="1" applyBorder="1"/>
    <xf numFmtId="8" fontId="58" fillId="3" borderId="12" xfId="0" applyNumberFormat="1" applyFont="1" applyFill="1" applyBorder="1" applyAlignment="1">
      <alignment vertical="center"/>
    </xf>
    <xf numFmtId="0" fontId="38" fillId="11" borderId="6" xfId="0" applyFont="1" applyFill="1" applyBorder="1" applyAlignment="1">
      <alignment horizontal="left" vertical="center"/>
    </xf>
    <xf numFmtId="0" fontId="38" fillId="11" borderId="6" xfId="0" applyFont="1" applyFill="1" applyBorder="1" applyAlignment="1">
      <alignment horizontal="right" vertical="center"/>
    </xf>
    <xf numFmtId="0" fontId="38" fillId="12" borderId="6" xfId="0" applyFont="1" applyFill="1" applyBorder="1" applyAlignment="1">
      <alignment horizontal="left" vertical="center"/>
    </xf>
    <xf numFmtId="0" fontId="38" fillId="12" borderId="22" xfId="0" applyFont="1" applyFill="1" applyBorder="1" applyAlignment="1">
      <alignment horizontal="left" vertical="center"/>
    </xf>
    <xf numFmtId="0" fontId="38" fillId="12" borderId="10" xfId="0" applyFont="1" applyFill="1" applyBorder="1" applyAlignment="1">
      <alignment horizontal="left" vertical="center"/>
    </xf>
    <xf numFmtId="0" fontId="38" fillId="11" borderId="7" xfId="0" applyFont="1" applyFill="1" applyBorder="1" applyAlignment="1">
      <alignment horizontal="left" vertical="center"/>
    </xf>
    <xf numFmtId="0" fontId="38" fillId="11" borderId="8" xfId="0" applyFont="1" applyFill="1" applyBorder="1" applyAlignment="1">
      <alignment horizontal="right" vertical="center"/>
    </xf>
    <xf numFmtId="0" fontId="38" fillId="11" borderId="9" xfId="0" applyFont="1" applyFill="1" applyBorder="1" applyAlignment="1">
      <alignment horizontal="right" vertical="center"/>
    </xf>
    <xf numFmtId="0" fontId="40" fillId="12" borderId="9" xfId="0" applyFont="1" applyFill="1" applyBorder="1" applyAlignment="1">
      <alignment horizontal="center" vertical="center" wrapText="1"/>
    </xf>
    <xf numFmtId="0" fontId="44" fillId="12" borderId="56" xfId="0" applyFont="1" applyFill="1" applyBorder="1" applyAlignment="1">
      <alignment horizontal="center" vertical="center"/>
    </xf>
    <xf numFmtId="0" fontId="44" fillId="12" borderId="66" xfId="0" applyFont="1" applyFill="1" applyBorder="1" applyAlignment="1">
      <alignment horizontal="center" vertical="center"/>
    </xf>
    <xf numFmtId="0" fontId="44" fillId="12" borderId="77" xfId="0" applyFont="1" applyFill="1" applyBorder="1" applyAlignment="1">
      <alignment horizontal="center" vertical="center" wrapText="1"/>
    </xf>
    <xf numFmtId="0" fontId="25" fillId="12" borderId="4" xfId="0" applyFont="1" applyFill="1" applyBorder="1" applyAlignment="1">
      <alignment vertical="center" wrapText="1"/>
    </xf>
    <xf numFmtId="0" fontId="0" fillId="12" borderId="0" xfId="0" applyFill="1"/>
    <xf numFmtId="0" fontId="44" fillId="12" borderId="28" xfId="0" applyFont="1" applyFill="1" applyBorder="1" applyAlignment="1">
      <alignment horizontal="center" vertical="center" wrapText="1"/>
    </xf>
    <xf numFmtId="0" fontId="25" fillId="12" borderId="7" xfId="0" applyFont="1" applyFill="1" applyBorder="1" applyAlignment="1">
      <alignment vertical="center" wrapText="1"/>
    </xf>
    <xf numFmtId="0" fontId="25" fillId="12" borderId="22" xfId="0" applyFont="1" applyFill="1" applyBorder="1" applyAlignment="1">
      <alignment vertical="center" wrapText="1"/>
    </xf>
    <xf numFmtId="0" fontId="25" fillId="12" borderId="10" xfId="0" applyFont="1" applyFill="1" applyBorder="1" applyAlignment="1">
      <alignment vertical="center" wrapText="1"/>
    </xf>
    <xf numFmtId="0" fontId="25" fillId="12" borderId="66" xfId="0" applyFont="1" applyFill="1" applyBorder="1"/>
    <xf numFmtId="0" fontId="44" fillId="12" borderId="22" xfId="0" applyFont="1" applyFill="1" applyBorder="1" applyAlignment="1">
      <alignment horizontal="center" vertical="center" wrapText="1"/>
    </xf>
    <xf numFmtId="0" fontId="44" fillId="12" borderId="6" xfId="0" applyFont="1" applyFill="1" applyBorder="1" applyAlignment="1">
      <alignment horizontal="center" vertical="center" wrapText="1"/>
    </xf>
    <xf numFmtId="0" fontId="52" fillId="12" borderId="6" xfId="0" applyFont="1" applyFill="1" applyBorder="1" applyAlignment="1">
      <alignment horizontal="left" wrapText="1"/>
    </xf>
    <xf numFmtId="0" fontId="25" fillId="12" borderId="6" xfId="0" applyFont="1" applyFill="1" applyBorder="1" applyAlignment="1">
      <alignment horizontal="left" wrapText="1"/>
    </xf>
    <xf numFmtId="0" fontId="25" fillId="12" borderId="6" xfId="0" applyFont="1" applyFill="1" applyBorder="1" applyAlignment="1">
      <alignment wrapText="1"/>
    </xf>
    <xf numFmtId="0" fontId="25" fillId="12" borderId="5" xfId="0" applyFont="1" applyFill="1" applyBorder="1" applyAlignment="1">
      <alignment wrapText="1"/>
    </xf>
    <xf numFmtId="0" fontId="6" fillId="12" borderId="7" xfId="0" applyFont="1" applyFill="1" applyBorder="1" applyAlignment="1">
      <alignment vertical="center" wrapText="1"/>
    </xf>
    <xf numFmtId="0" fontId="6" fillId="12" borderId="10" xfId="0" applyFont="1" applyFill="1" applyBorder="1" applyAlignment="1">
      <alignment vertical="center" wrapText="1"/>
    </xf>
    <xf numFmtId="0" fontId="25" fillId="12" borderId="9" xfId="0" applyFont="1" applyFill="1" applyBorder="1" applyAlignment="1">
      <alignment horizontal="center" vertical="center" wrapText="1"/>
    </xf>
    <xf numFmtId="0" fontId="69" fillId="0" borderId="0" xfId="0" applyFont="1"/>
    <xf numFmtId="0" fontId="64" fillId="0" borderId="0" xfId="0" applyFont="1"/>
    <xf numFmtId="0" fontId="38" fillId="11" borderId="36" xfId="0" applyFont="1" applyFill="1" applyBorder="1" applyAlignment="1">
      <alignment horizontal="right" vertical="center"/>
    </xf>
    <xf numFmtId="0" fontId="38" fillId="11" borderId="37" xfId="0" applyFont="1" applyFill="1" applyBorder="1" applyAlignment="1">
      <alignment horizontal="right" vertical="center"/>
    </xf>
    <xf numFmtId="0" fontId="70" fillId="0" borderId="22" xfId="0" applyFont="1" applyBorder="1" applyAlignment="1">
      <alignment wrapText="1"/>
    </xf>
    <xf numFmtId="0" fontId="70" fillId="0" borderId="22" xfId="0" applyFont="1" applyBorder="1"/>
    <xf numFmtId="0" fontId="70" fillId="0" borderId="10" xfId="0" applyFont="1" applyBorder="1" applyAlignment="1">
      <alignment wrapText="1"/>
    </xf>
    <xf numFmtId="0" fontId="70" fillId="0" borderId="8" xfId="0" applyFont="1" applyBorder="1" applyAlignment="1">
      <alignment horizontal="right"/>
    </xf>
    <xf numFmtId="0" fontId="70" fillId="0" borderId="9" xfId="0" applyFont="1" applyBorder="1" applyAlignment="1">
      <alignment horizontal="right"/>
    </xf>
    <xf numFmtId="164" fontId="64" fillId="0" borderId="6" xfId="0" applyNumberFormat="1" applyFont="1" applyBorder="1"/>
    <xf numFmtId="164" fontId="64" fillId="0" borderId="23" xfId="0" applyNumberFormat="1" applyFont="1" applyBorder="1"/>
    <xf numFmtId="0" fontId="70" fillId="0" borderId="22" xfId="0" applyFont="1" applyBorder="1" applyAlignment="1">
      <alignment horizontal="left"/>
    </xf>
    <xf numFmtId="164" fontId="64" fillId="0" borderId="23" xfId="0" applyNumberFormat="1" applyFont="1" applyBorder="1" applyAlignment="1">
      <alignment horizontal="right"/>
    </xf>
    <xf numFmtId="0" fontId="64" fillId="0" borderId="13" xfId="0" applyFont="1" applyBorder="1"/>
    <xf numFmtId="0" fontId="64" fillId="0" borderId="14" xfId="0" applyFont="1" applyBorder="1"/>
    <xf numFmtId="0" fontId="70" fillId="0" borderId="10" xfId="0" applyFont="1" applyBorder="1" applyAlignment="1">
      <alignment horizontal="left" wrapText="1"/>
    </xf>
    <xf numFmtId="164" fontId="70" fillId="0" borderId="11" xfId="0" applyNumberFormat="1" applyFont="1" applyBorder="1"/>
    <xf numFmtId="164" fontId="70" fillId="0" borderId="12" xfId="0" applyNumberFormat="1" applyFont="1" applyBorder="1"/>
    <xf numFmtId="164" fontId="70" fillId="0" borderId="62" xfId="0" applyNumberFormat="1" applyFont="1" applyBorder="1"/>
    <xf numFmtId="164" fontId="70" fillId="0" borderId="35" xfId="0" applyNumberFormat="1" applyFont="1" applyBorder="1"/>
    <xf numFmtId="0" fontId="70" fillId="0" borderId="0" xfId="0" applyFont="1" applyAlignment="1">
      <alignment horizontal="left"/>
    </xf>
    <xf numFmtId="0" fontId="70" fillId="0" borderId="45" xfId="0" applyFont="1" applyBorder="1"/>
    <xf numFmtId="164" fontId="70" fillId="0" borderId="46" xfId="0" applyNumberFormat="1" applyFont="1" applyBorder="1"/>
    <xf numFmtId="164" fontId="70" fillId="0" borderId="47" xfId="0" applyNumberFormat="1" applyFont="1" applyBorder="1"/>
    <xf numFmtId="0" fontId="70" fillId="0" borderId="0" xfId="0" applyFont="1"/>
    <xf numFmtId="164" fontId="70" fillId="0" borderId="0" xfId="0" applyNumberFormat="1" applyFont="1"/>
    <xf numFmtId="164" fontId="70" fillId="0" borderId="47" xfId="0" applyNumberFormat="1" applyFont="1" applyBorder="1" applyAlignment="1">
      <alignment horizontal="right"/>
    </xf>
    <xf numFmtId="164" fontId="70" fillId="3" borderId="9" xfId="0" applyNumberFormat="1" applyFont="1" applyFill="1" applyBorder="1"/>
    <xf numFmtId="164" fontId="70" fillId="3" borderId="12" xfId="0" applyNumberFormat="1" applyFont="1" applyFill="1" applyBorder="1"/>
    <xf numFmtId="164" fontId="70" fillId="0" borderId="9" xfId="0" applyNumberFormat="1" applyFont="1" applyBorder="1"/>
    <xf numFmtId="164" fontId="70" fillId="0" borderId="23" xfId="0" applyNumberFormat="1" applyFont="1" applyBorder="1"/>
    <xf numFmtId="164" fontId="70" fillId="0" borderId="78" xfId="0" applyNumberFormat="1" applyFont="1" applyBorder="1"/>
    <xf numFmtId="2" fontId="29" fillId="13" borderId="6" xfId="0" applyNumberFormat="1" applyFont="1" applyFill="1" applyBorder="1" applyProtection="1">
      <protection locked="0" hidden="1"/>
    </xf>
    <xf numFmtId="0" fontId="70" fillId="0" borderId="7" xfId="0" applyFont="1" applyBorder="1" applyAlignment="1">
      <alignment wrapText="1"/>
    </xf>
    <xf numFmtId="0" fontId="72" fillId="0" borderId="7" xfId="0" applyFont="1" applyBorder="1" applyAlignment="1">
      <alignment horizontal="center"/>
    </xf>
    <xf numFmtId="0" fontId="64" fillId="0" borderId="22" xfId="0" applyFont="1" applyBorder="1"/>
    <xf numFmtId="0" fontId="70" fillId="0" borderId="22" xfId="0" applyFont="1" applyBorder="1" applyAlignment="1">
      <alignment horizontal="left" wrapText="1"/>
    </xf>
    <xf numFmtId="0" fontId="70" fillId="0" borderId="0" xfId="0" applyFont="1" applyAlignment="1">
      <alignment horizontal="left" wrapText="1"/>
    </xf>
    <xf numFmtId="0" fontId="70" fillId="0" borderId="45" xfId="0" applyFont="1" applyBorder="1" applyAlignment="1">
      <alignment horizontal="left"/>
    </xf>
    <xf numFmtId="164" fontId="64" fillId="3" borderId="0" xfId="0" applyNumberFormat="1" applyFont="1" applyFill="1" applyAlignment="1">
      <alignment horizontal="center"/>
    </xf>
    <xf numFmtId="164" fontId="64" fillId="3" borderId="28" xfId="0" applyNumberFormat="1" applyFont="1" applyFill="1" applyBorder="1" applyAlignment="1">
      <alignment horizontal="center"/>
    </xf>
    <xf numFmtId="164" fontId="64" fillId="0" borderId="64" xfId="0" applyNumberFormat="1" applyFont="1" applyBorder="1"/>
    <xf numFmtId="0" fontId="74" fillId="0" borderId="63" xfId="1" applyFont="1" applyFill="1" applyBorder="1" applyAlignment="1">
      <alignment wrapText="1"/>
    </xf>
    <xf numFmtId="0" fontId="75" fillId="0" borderId="62" xfId="1" applyFont="1" applyFill="1" applyBorder="1" applyAlignment="1">
      <alignment wrapText="1"/>
    </xf>
    <xf numFmtId="0" fontId="75" fillId="0" borderId="35" xfId="1" applyFont="1" applyFill="1" applyBorder="1" applyAlignment="1">
      <alignment wrapText="1"/>
    </xf>
    <xf numFmtId="2" fontId="5" fillId="13" borderId="6" xfId="0" applyNumberFormat="1" applyFont="1" applyFill="1" applyBorder="1" applyAlignment="1" applyProtection="1">
      <alignment horizontal="left"/>
      <protection locked="0" hidden="1"/>
    </xf>
    <xf numFmtId="2" fontId="5" fillId="13" borderId="23" xfId="0" applyNumberFormat="1" applyFont="1" applyFill="1" applyBorder="1" applyAlignment="1" applyProtection="1">
      <alignment horizontal="left"/>
      <protection locked="0" hidden="1"/>
    </xf>
    <xf numFmtId="2" fontId="5" fillId="13" borderId="11" xfId="0" applyNumberFormat="1" applyFont="1" applyFill="1" applyBorder="1" applyAlignment="1" applyProtection="1">
      <alignment horizontal="left"/>
      <protection locked="0" hidden="1"/>
    </xf>
    <xf numFmtId="2" fontId="5" fillId="13"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64" fillId="9" borderId="38" xfId="0" applyFont="1" applyFill="1" applyBorder="1"/>
    <xf numFmtId="0" fontId="64" fillId="9" borderId="4" xfId="0" applyFont="1" applyFill="1" applyBorder="1"/>
    <xf numFmtId="0" fontId="64" fillId="9" borderId="5" xfId="0" applyFont="1" applyFill="1" applyBorder="1"/>
    <xf numFmtId="0" fontId="70" fillId="0" borderId="22" xfId="0" applyFont="1" applyBorder="1"/>
    <xf numFmtId="0" fontId="70" fillId="0" borderId="6" xfId="0" applyFont="1" applyBorder="1"/>
    <xf numFmtId="0" fontId="70" fillId="0" borderId="10" xfId="0" applyFont="1" applyBorder="1"/>
    <xf numFmtId="0" fontId="70" fillId="0" borderId="11" xfId="0" applyFont="1" applyBorder="1"/>
    <xf numFmtId="0" fontId="70" fillId="0" borderId="55" xfId="0" applyFont="1" applyBorder="1" applyAlignment="1">
      <alignment horizontal="left"/>
    </xf>
    <xf numFmtId="0" fontId="70" fillId="0" borderId="56" xfId="0" applyFont="1" applyBorder="1" applyAlignment="1">
      <alignment horizontal="left"/>
    </xf>
    <xf numFmtId="0" fontId="70" fillId="0" borderId="54" xfId="0" applyFont="1" applyBorder="1" applyAlignment="1">
      <alignment horizontal="left"/>
    </xf>
    <xf numFmtId="0" fontId="70" fillId="0" borderId="57" xfId="0" applyFont="1" applyBorder="1" applyAlignment="1">
      <alignment horizontal="left"/>
    </xf>
    <xf numFmtId="0" fontId="70" fillId="0" borderId="58" xfId="0" applyFont="1" applyBorder="1" applyAlignment="1">
      <alignment horizontal="left"/>
    </xf>
    <xf numFmtId="0" fontId="70" fillId="0" borderId="59" xfId="0" applyFont="1" applyBorder="1" applyAlignment="1">
      <alignment horizontal="left"/>
    </xf>
    <xf numFmtId="0" fontId="70" fillId="0" borderId="45" xfId="0" applyFont="1" applyBorder="1"/>
    <xf numFmtId="0" fontId="70" fillId="0" borderId="46" xfId="0" applyFont="1" applyBorder="1"/>
    <xf numFmtId="0" fontId="70" fillId="0" borderId="0" xfId="0" applyFont="1" applyAlignment="1">
      <alignment horizontal="left"/>
    </xf>
    <xf numFmtId="0" fontId="70" fillId="0" borderId="22" xfId="0" applyFont="1" applyBorder="1" applyAlignment="1">
      <alignment horizontal="left"/>
    </xf>
    <xf numFmtId="0" fontId="70" fillId="0" borderId="6" xfId="0" applyFont="1" applyBorder="1" applyAlignment="1">
      <alignment horizontal="left"/>
    </xf>
    <xf numFmtId="0" fontId="28" fillId="0" borderId="22" xfId="0" applyFont="1" applyBorder="1" applyAlignment="1">
      <alignment wrapText="1"/>
    </xf>
    <xf numFmtId="0" fontId="28" fillId="0" borderId="6" xfId="0" applyFont="1" applyBorder="1" applyAlignment="1">
      <alignment wrapText="1"/>
    </xf>
    <xf numFmtId="0" fontId="28" fillId="0" borderId="23" xfId="0" applyFont="1" applyBorder="1" applyAlignment="1">
      <alignment wrapText="1"/>
    </xf>
    <xf numFmtId="0" fontId="72" fillId="0" borderId="51" xfId="0" applyFont="1" applyBorder="1" applyAlignment="1">
      <alignment horizontal="center"/>
    </xf>
    <xf numFmtId="0" fontId="73" fillId="0" borderId="39" xfId="0" applyFont="1" applyBorder="1" applyAlignment="1">
      <alignment horizontal="center"/>
    </xf>
    <xf numFmtId="0" fontId="73" fillId="0" borderId="40" xfId="0" applyFont="1" applyBorder="1" applyAlignment="1">
      <alignment horizontal="center"/>
    </xf>
    <xf numFmtId="0" fontId="70" fillId="0" borderId="7" xfId="0" applyFont="1" applyBorder="1" applyAlignment="1">
      <alignment horizontal="center"/>
    </xf>
    <xf numFmtId="0" fontId="70" fillId="0" borderId="8" xfId="0" applyFont="1" applyBorder="1" applyAlignment="1">
      <alignment horizontal="center"/>
    </xf>
    <xf numFmtId="0" fontId="72" fillId="0" borderId="48" xfId="0" applyFont="1" applyBorder="1" applyAlignment="1">
      <alignment horizontal="center"/>
    </xf>
    <xf numFmtId="0" fontId="72" fillId="0" borderId="49" xfId="0" applyFont="1" applyBorder="1" applyAlignment="1">
      <alignment horizontal="center"/>
    </xf>
    <xf numFmtId="0" fontId="72" fillId="0" borderId="52" xfId="0" applyFont="1" applyBorder="1" applyAlignment="1">
      <alignment horizontal="center"/>
    </xf>
    <xf numFmtId="0" fontId="70" fillId="0" borderId="10" xfId="0" applyFont="1" applyBorder="1" applyAlignment="1">
      <alignment horizontal="left" wrapText="1"/>
    </xf>
    <xf numFmtId="0" fontId="70" fillId="0" borderId="11" xfId="0" applyFont="1" applyBorder="1" applyAlignment="1">
      <alignment horizontal="left" wrapText="1"/>
    </xf>
    <xf numFmtId="0" fontId="70" fillId="0" borderId="7" xfId="0" applyFont="1" applyBorder="1"/>
    <xf numFmtId="0" fontId="70" fillId="0" borderId="8" xfId="0" applyFont="1" applyBorder="1"/>
    <xf numFmtId="0" fontId="70" fillId="0" borderId="60" xfId="0" applyFont="1" applyBorder="1"/>
    <xf numFmtId="0" fontId="70" fillId="0" borderId="41" xfId="0" applyFont="1" applyBorder="1"/>
    <xf numFmtId="0" fontId="70" fillId="0" borderId="37" xfId="0" applyFont="1" applyBorder="1"/>
    <xf numFmtId="0" fontId="31" fillId="0" borderId="7" xfId="0" applyFont="1" applyBorder="1"/>
    <xf numFmtId="0" fontId="31" fillId="0" borderId="8" xfId="0" applyFont="1" applyBorder="1"/>
    <xf numFmtId="0" fontId="31" fillId="0" borderId="9" xfId="0" applyFont="1" applyBorder="1"/>
    <xf numFmtId="0" fontId="70" fillId="0" borderId="48" xfId="0" applyFont="1" applyBorder="1" applyAlignment="1">
      <alignment horizontal="left" wrapText="1"/>
    </xf>
    <xf numFmtId="0" fontId="70" fillId="0" borderId="49" xfId="0" applyFont="1" applyBorder="1" applyAlignment="1">
      <alignment horizontal="left" wrapText="1"/>
    </xf>
    <xf numFmtId="0" fontId="70" fillId="0" borderId="48" xfId="0" applyFont="1" applyBorder="1" applyAlignment="1">
      <alignment horizontal="left"/>
    </xf>
    <xf numFmtId="0" fontId="70" fillId="0" borderId="49" xfId="0" applyFont="1" applyBorder="1" applyAlignment="1">
      <alignment horizontal="left"/>
    </xf>
    <xf numFmtId="0" fontId="70" fillId="0" borderId="50" xfId="0" applyFont="1" applyBorder="1" applyAlignment="1">
      <alignment horizontal="left"/>
    </xf>
    <xf numFmtId="0" fontId="33" fillId="0" borderId="60" xfId="0" applyFont="1" applyBorder="1" applyAlignment="1">
      <alignment wrapText="1"/>
    </xf>
    <xf numFmtId="0" fontId="33" fillId="0" borderId="41" xfId="0" applyFont="1" applyBorder="1" applyAlignment="1">
      <alignment wrapText="1"/>
    </xf>
    <xf numFmtId="0" fontId="33" fillId="0" borderId="61" xfId="0" applyFont="1" applyBorder="1" applyAlignment="1">
      <alignment wrapText="1"/>
    </xf>
    <xf numFmtId="0" fontId="72" fillId="0" borderId="8" xfId="0" applyFont="1" applyBorder="1" applyAlignment="1">
      <alignment horizontal="left" wrapText="1"/>
    </xf>
    <xf numFmtId="0" fontId="72" fillId="0" borderId="9" xfId="0" applyFont="1" applyBorder="1" applyAlignment="1">
      <alignment horizontal="left" wrapText="1"/>
    </xf>
    <xf numFmtId="0" fontId="29" fillId="13" borderId="6" xfId="0" applyFont="1" applyFill="1" applyBorder="1" applyProtection="1">
      <protection hidden="1"/>
    </xf>
    <xf numFmtId="0" fontId="29" fillId="13" borderId="23" xfId="0" applyFont="1" applyFill="1" applyBorder="1" applyProtection="1">
      <protection hidden="1"/>
    </xf>
    <xf numFmtId="0" fontId="5" fillId="13" borderId="6" xfId="0" applyFont="1" applyFill="1" applyBorder="1" applyProtection="1">
      <protection locked="0" hidden="1"/>
    </xf>
    <xf numFmtId="0" fontId="5" fillId="13" borderId="23" xfId="0" applyFont="1" applyFill="1" applyBorder="1" applyProtection="1">
      <protection locked="0" hidden="1"/>
    </xf>
    <xf numFmtId="0" fontId="5" fillId="13" borderId="6" xfId="0" applyFont="1" applyFill="1" applyBorder="1" applyAlignment="1" applyProtection="1">
      <alignment horizontal="left"/>
      <protection locked="0" hidden="1"/>
    </xf>
    <xf numFmtId="0" fontId="5" fillId="13" borderId="23" xfId="0" applyFont="1" applyFill="1" applyBorder="1" applyAlignment="1" applyProtection="1">
      <alignment horizontal="left"/>
      <protection locked="0" hidden="1"/>
    </xf>
    <xf numFmtId="164" fontId="5" fillId="13" borderId="6" xfId="0" applyNumberFormat="1" applyFont="1" applyFill="1" applyBorder="1" applyAlignment="1" applyProtection="1">
      <alignment horizontal="left"/>
      <protection locked="0" hidden="1"/>
    </xf>
    <xf numFmtId="164" fontId="5" fillId="13" borderId="23" xfId="0" applyNumberFormat="1" applyFont="1" applyFill="1" applyBorder="1" applyAlignment="1" applyProtection="1">
      <alignment horizontal="left"/>
      <protection locked="0" hidden="1"/>
    </xf>
    <xf numFmtId="0" fontId="72" fillId="0" borderId="0" xfId="0" applyFont="1" applyAlignment="1">
      <alignment horizontal="left" vertical="center" wrapText="1"/>
    </xf>
    <xf numFmtId="0" fontId="29" fillId="13" borderId="65" xfId="0" applyFont="1" applyFill="1" applyBorder="1" applyProtection="1">
      <protection locked="0" hidden="1"/>
    </xf>
    <xf numFmtId="0" fontId="29" fillId="13" borderId="56" xfId="0" applyFont="1" applyFill="1" applyBorder="1" applyProtection="1">
      <protection locked="0" hidden="1"/>
    </xf>
    <xf numFmtId="0" fontId="29" fillId="13" borderId="54" xfId="0" applyFont="1" applyFill="1" applyBorder="1" applyProtection="1">
      <protection locked="0" hidden="1"/>
    </xf>
    <xf numFmtId="0" fontId="29" fillId="13" borderId="6" xfId="0" applyFont="1" applyFill="1" applyBorder="1" applyProtection="1">
      <protection locked="0" hidden="1"/>
    </xf>
    <xf numFmtId="0" fontId="29" fillId="13" borderId="36" xfId="0" applyFont="1" applyFill="1" applyBorder="1" applyProtection="1">
      <protection hidden="1"/>
    </xf>
    <xf numFmtId="0" fontId="29" fillId="13" borderId="37" xfId="0" applyFont="1" applyFill="1" applyBorder="1" applyProtection="1">
      <protection hidden="1"/>
    </xf>
    <xf numFmtId="0" fontId="29" fillId="13" borderId="6" xfId="0" applyFont="1" applyFill="1" applyBorder="1" applyAlignment="1" applyProtection="1">
      <alignment horizontal="left"/>
      <protection locked="0" hidden="1"/>
    </xf>
    <xf numFmtId="0" fontId="70" fillId="0" borderId="10" xfId="0" applyFont="1" applyBorder="1" applyAlignment="1">
      <alignment horizontal="left"/>
    </xf>
    <xf numFmtId="0" fontId="70" fillId="0" borderId="11" xfId="0" applyFont="1" applyBorder="1" applyAlignment="1">
      <alignment horizontal="left"/>
    </xf>
    <xf numFmtId="164" fontId="64" fillId="9" borderId="53" xfId="0" applyNumberFormat="1" applyFont="1" applyFill="1" applyBorder="1" applyAlignment="1">
      <alignment horizontal="center"/>
    </xf>
    <xf numFmtId="164" fontId="64" fillId="9" borderId="50" xfId="0" applyNumberFormat="1" applyFont="1" applyFill="1" applyBorder="1" applyAlignment="1">
      <alignment horizontal="center"/>
    </xf>
    <xf numFmtId="164" fontId="64" fillId="0" borderId="6" xfId="0" applyNumberFormat="1" applyFont="1" applyBorder="1"/>
    <xf numFmtId="164" fontId="29" fillId="13" borderId="6" xfId="0" applyNumberFormat="1" applyFont="1" applyFill="1" applyBorder="1" applyAlignment="1" applyProtection="1">
      <alignment horizontal="left"/>
      <protection locked="0" hidden="1"/>
    </xf>
    <xf numFmtId="2" fontId="29" fillId="13" borderId="6" xfId="0" applyNumberFormat="1" applyFont="1" applyFill="1" applyBorder="1" applyAlignment="1" applyProtection="1">
      <alignment horizontal="left"/>
      <protection locked="0" hidden="1"/>
    </xf>
    <xf numFmtId="0" fontId="29" fillId="13" borderId="11" xfId="0" applyFont="1" applyFill="1" applyBorder="1" applyAlignment="1" applyProtection="1">
      <alignment horizontal="left"/>
      <protection locked="0" hidden="1"/>
    </xf>
    <xf numFmtId="0" fontId="74" fillId="0" borderId="48" xfId="1" applyFont="1" applyFill="1" applyBorder="1" applyAlignment="1">
      <alignment wrapText="1"/>
    </xf>
    <xf numFmtId="0" fontId="74" fillId="0" borderId="49" xfId="1" applyFont="1" applyFill="1" applyBorder="1" applyAlignment="1">
      <alignment wrapText="1"/>
    </xf>
    <xf numFmtId="0" fontId="74" fillId="0" borderId="52" xfId="1" applyFont="1" applyFill="1" applyBorder="1" applyAlignment="1">
      <alignment wrapText="1"/>
    </xf>
    <xf numFmtId="0" fontId="29" fillId="13" borderId="36" xfId="0" applyFont="1" applyFill="1" applyBorder="1" applyAlignment="1" applyProtection="1">
      <alignment horizontal="left"/>
      <protection locked="0" hidden="1"/>
    </xf>
    <xf numFmtId="0" fontId="29" fillId="13" borderId="41" xfId="0" applyFont="1" applyFill="1" applyBorder="1" applyAlignment="1" applyProtection="1">
      <alignment horizontal="left"/>
      <protection locked="0" hidden="1"/>
    </xf>
    <xf numFmtId="0" fontId="29" fillId="13" borderId="37" xfId="0" applyFont="1" applyFill="1" applyBorder="1" applyAlignment="1" applyProtection="1">
      <alignment horizontal="left"/>
      <protection locked="0" hidden="1"/>
    </xf>
    <xf numFmtId="0" fontId="28" fillId="0" borderId="10" xfId="0" applyFont="1" applyBorder="1" applyAlignment="1">
      <alignment wrapText="1"/>
    </xf>
    <xf numFmtId="0" fontId="28" fillId="0" borderId="11" xfId="0" applyFont="1" applyBorder="1" applyAlignment="1">
      <alignment wrapText="1"/>
    </xf>
    <xf numFmtId="0" fontId="28" fillId="0" borderId="12" xfId="0" applyFont="1" applyBorder="1" applyAlignment="1">
      <alignment wrapText="1"/>
    </xf>
    <xf numFmtId="164" fontId="70" fillId="0" borderId="6" xfId="0" applyNumberFormat="1" applyFont="1" applyBorder="1"/>
    <xf numFmtId="164" fontId="70" fillId="0" borderId="53" xfId="0" applyNumberFormat="1" applyFont="1" applyBorder="1"/>
    <xf numFmtId="164" fontId="70"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70" fillId="0" borderId="8" xfId="0" applyFont="1" applyBorder="1" applyAlignment="1">
      <alignment horizontal="right"/>
    </xf>
    <xf numFmtId="0" fontId="31" fillId="0" borderId="22" xfId="0" applyFont="1" applyBorder="1"/>
    <xf numFmtId="0" fontId="31" fillId="0" borderId="6" xfId="0" applyFont="1" applyBorder="1"/>
    <xf numFmtId="0" fontId="31" fillId="0" borderId="23" xfId="0" applyFont="1" applyBorder="1"/>
    <xf numFmtId="0" fontId="72" fillId="0" borderId="7" xfId="0" applyFont="1" applyBorder="1" applyAlignment="1">
      <alignment horizontal="center"/>
    </xf>
    <xf numFmtId="0" fontId="72" fillId="0" borderId="8" xfId="0" applyFont="1" applyBorder="1" applyAlignment="1">
      <alignment horizontal="center"/>
    </xf>
    <xf numFmtId="0" fontId="72" fillId="0" borderId="9" xfId="0" applyFont="1" applyBorder="1" applyAlignment="1">
      <alignment horizontal="center"/>
    </xf>
    <xf numFmtId="0" fontId="70" fillId="0" borderId="7" xfId="0" applyFont="1" applyBorder="1" applyAlignment="1">
      <alignment horizontal="left"/>
    </xf>
    <xf numFmtId="0" fontId="70" fillId="0" borderId="8" xfId="0" applyFont="1" applyBorder="1" applyAlignment="1">
      <alignment horizontal="left"/>
    </xf>
    <xf numFmtId="0" fontId="41" fillId="7" borderId="60" xfId="0" applyFont="1" applyFill="1" applyBorder="1" applyAlignment="1">
      <alignment horizontal="left" vertical="center" wrapText="1"/>
    </xf>
    <xf numFmtId="0" fontId="41" fillId="7" borderId="37" xfId="0" applyFont="1" applyFill="1" applyBorder="1" applyAlignment="1">
      <alignment horizontal="left" vertical="center" wrapText="1"/>
    </xf>
    <xf numFmtId="0" fontId="41" fillId="7" borderId="41" xfId="0" applyFont="1" applyFill="1" applyBorder="1" applyAlignment="1">
      <alignment horizontal="left" vertical="center" wrapText="1"/>
    </xf>
    <xf numFmtId="0" fontId="25" fillId="12" borderId="7"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54" fillId="3" borderId="22" xfId="0" applyFont="1" applyFill="1" applyBorder="1" applyAlignment="1">
      <alignment horizontal="left" vertical="center"/>
    </xf>
    <xf numFmtId="0" fontId="54" fillId="3" borderId="6" xfId="0" applyFont="1" applyFill="1" applyBorder="1" applyAlignment="1">
      <alignment horizontal="left" vertical="center"/>
    </xf>
    <xf numFmtId="0" fontId="40" fillId="12" borderId="55" xfId="0" applyFont="1" applyFill="1" applyBorder="1" applyAlignment="1">
      <alignment horizontal="center" vertical="center" wrapText="1"/>
    </xf>
    <xf numFmtId="0" fontId="40" fillId="12" borderId="54" xfId="0" applyFont="1" applyFill="1" applyBorder="1" applyAlignment="1">
      <alignment horizontal="center" vertical="center" wrapText="1"/>
    </xf>
    <xf numFmtId="0" fontId="41" fillId="0" borderId="57" xfId="0" applyFont="1" applyBorder="1" applyAlignment="1">
      <alignment horizontal="left" vertical="center"/>
    </xf>
    <xf numFmtId="0" fontId="41" fillId="0" borderId="59" xfId="0" applyFont="1" applyBorder="1" applyAlignment="1">
      <alignment horizontal="left" vertical="center"/>
    </xf>
    <xf numFmtId="0" fontId="41" fillId="7" borderId="70" xfId="0" applyFont="1" applyFill="1" applyBorder="1" applyAlignment="1">
      <alignment horizontal="left" vertical="center" wrapText="1"/>
    </xf>
    <xf numFmtId="0" fontId="41" fillId="7" borderId="30" xfId="0" applyFont="1" applyFill="1" applyBorder="1" applyAlignment="1">
      <alignment horizontal="left" vertical="center" wrapText="1"/>
    </xf>
    <xf numFmtId="0" fontId="41" fillId="7" borderId="31" xfId="0" applyFont="1" applyFill="1" applyBorder="1" applyAlignment="1">
      <alignment horizontal="left" vertical="center" wrapText="1"/>
    </xf>
    <xf numFmtId="0" fontId="40" fillId="12" borderId="56" xfId="0" applyFont="1" applyFill="1" applyBorder="1" applyAlignment="1">
      <alignment horizontal="center" vertical="center" wrapText="1"/>
    </xf>
    <xf numFmtId="0" fontId="40" fillId="12" borderId="66" xfId="0" applyFont="1" applyFill="1" applyBorder="1" applyAlignment="1">
      <alignment horizontal="center" vertical="center" wrapText="1"/>
    </xf>
    <xf numFmtId="0" fontId="54" fillId="3" borderId="11" xfId="0" applyFont="1" applyFill="1" applyBorder="1" applyAlignment="1">
      <alignment horizontal="left" vertical="center"/>
    </xf>
    <xf numFmtId="8" fontId="54" fillId="3" borderId="6" xfId="0" applyNumberFormat="1" applyFont="1" applyFill="1" applyBorder="1" applyAlignment="1">
      <alignment horizontal="right" vertical="center"/>
    </xf>
    <xf numFmtId="8" fontId="54" fillId="3" borderId="11" xfId="0" applyNumberFormat="1" applyFont="1" applyFill="1" applyBorder="1" applyAlignment="1">
      <alignment horizontal="right" vertical="center"/>
    </xf>
    <xf numFmtId="0" fontId="25" fillId="12" borderId="65" xfId="0" applyFont="1" applyFill="1" applyBorder="1" applyAlignment="1">
      <alignment horizontal="center" vertical="center" wrapText="1"/>
    </xf>
    <xf numFmtId="0" fontId="25" fillId="12" borderId="56" xfId="0" applyFont="1" applyFill="1" applyBorder="1" applyAlignment="1">
      <alignment horizontal="center" vertical="center" wrapText="1"/>
    </xf>
    <xf numFmtId="0" fontId="25" fillId="12" borderId="54" xfId="0" applyFont="1" applyFill="1" applyBorder="1" applyAlignment="1">
      <alignment horizontal="center" vertical="center" wrapText="1"/>
    </xf>
    <xf numFmtId="8" fontId="54" fillId="3" borderId="36" xfId="0" applyNumberFormat="1" applyFont="1" applyFill="1" applyBorder="1" applyAlignment="1">
      <alignment horizontal="right" vertical="center"/>
    </xf>
    <xf numFmtId="8" fontId="54" fillId="3" borderId="41" xfId="0" applyNumberFormat="1" applyFont="1" applyFill="1" applyBorder="1" applyAlignment="1">
      <alignment horizontal="right" vertical="center"/>
    </xf>
    <xf numFmtId="8" fontId="54" fillId="3" borderId="37" xfId="0" applyNumberFormat="1" applyFont="1" applyFill="1" applyBorder="1" applyAlignment="1">
      <alignment horizontal="right" vertical="center"/>
    </xf>
    <xf numFmtId="8" fontId="54" fillId="3" borderId="75" xfId="0" applyNumberFormat="1" applyFont="1" applyFill="1" applyBorder="1" applyAlignment="1">
      <alignment horizontal="right" vertical="center"/>
    </xf>
    <xf numFmtId="8" fontId="54" fillId="3" borderId="58" xfId="0" applyNumberFormat="1" applyFont="1" applyFill="1" applyBorder="1" applyAlignment="1">
      <alignment horizontal="right" vertical="center"/>
    </xf>
    <xf numFmtId="8" fontId="54" fillId="3" borderId="59" xfId="0" applyNumberFormat="1" applyFont="1" applyFill="1" applyBorder="1" applyAlignment="1">
      <alignment horizontal="right" vertical="center"/>
    </xf>
    <xf numFmtId="8" fontId="0" fillId="0" borderId="41" xfId="0" applyNumberFormat="1" applyBorder="1" applyAlignment="1">
      <alignment horizontal="center" vertical="center" wrapText="1"/>
    </xf>
    <xf numFmtId="8" fontId="0" fillId="0" borderId="61" xfId="0" applyNumberFormat="1" applyBorder="1" applyAlignment="1">
      <alignment horizontal="center" vertical="center" wrapText="1"/>
    </xf>
    <xf numFmtId="0" fontId="5" fillId="0" borderId="60" xfId="0" applyFont="1" applyBorder="1" applyAlignment="1">
      <alignment vertical="center" wrapText="1"/>
    </xf>
    <xf numFmtId="0" fontId="5" fillId="0" borderId="41" xfId="0" applyFont="1" applyBorder="1" applyAlignment="1">
      <alignment vertical="center" wrapText="1"/>
    </xf>
    <xf numFmtId="0" fontId="0" fillId="0" borderId="60" xfId="0" applyBorder="1" applyAlignment="1">
      <alignment vertical="center" wrapText="1"/>
    </xf>
    <xf numFmtId="0" fontId="0" fillId="0" borderId="41" xfId="0" applyBorder="1" applyAlignment="1">
      <alignment vertical="center" wrapText="1"/>
    </xf>
    <xf numFmtId="0" fontId="0" fillId="0" borderId="60" xfId="0" applyBorder="1" applyAlignment="1">
      <alignment horizontal="left" vertical="center" wrapText="1"/>
    </xf>
    <xf numFmtId="0" fontId="0" fillId="0" borderId="41" xfId="0" applyBorder="1" applyAlignment="1">
      <alignment horizontal="left" vertical="center" wrapText="1"/>
    </xf>
    <xf numFmtId="164" fontId="0" fillId="0" borderId="41" xfId="0" applyNumberFormat="1" applyBorder="1" applyAlignment="1">
      <alignment horizontal="left"/>
    </xf>
    <xf numFmtId="0" fontId="64" fillId="0" borderId="0" xfId="0" applyFont="1" applyAlignment="1">
      <alignment horizontal="left"/>
    </xf>
    <xf numFmtId="0" fontId="0" fillId="0" borderId="0" xfId="0" applyAlignment="1">
      <alignment horizontal="left" vertical="center" wrapText="1"/>
    </xf>
    <xf numFmtId="0" fontId="64" fillId="0" borderId="0" xfId="0" applyFont="1"/>
    <xf numFmtId="0" fontId="40" fillId="12" borderId="51" xfId="0" applyFont="1" applyFill="1" applyBorder="1" applyAlignment="1">
      <alignment horizontal="center" vertical="center" wrapText="1"/>
    </xf>
    <xf numFmtId="0" fontId="40" fillId="12" borderId="39" xfId="0" applyFont="1" applyFill="1" applyBorder="1" applyAlignment="1">
      <alignment horizontal="center" vertical="center" wrapText="1"/>
    </xf>
    <xf numFmtId="0" fontId="40" fillId="12" borderId="40" xfId="0" applyFont="1" applyFill="1" applyBorder="1" applyAlignment="1">
      <alignment horizontal="center" vertical="center" wrapText="1"/>
    </xf>
    <xf numFmtId="0" fontId="44" fillId="12" borderId="27" xfId="0" applyFont="1" applyFill="1" applyBorder="1" applyAlignment="1">
      <alignment horizontal="center" vertical="center" wrapText="1"/>
    </xf>
    <xf numFmtId="0" fontId="44" fillId="12" borderId="28" xfId="0" applyFont="1" applyFill="1" applyBorder="1" applyAlignment="1">
      <alignment horizontal="center" vertical="center" wrapText="1"/>
    </xf>
    <xf numFmtId="0" fontId="66" fillId="0" borderId="0" xfId="0" applyFont="1" applyAlignment="1">
      <alignment horizontal="center" vertical="center"/>
    </xf>
    <xf numFmtId="0" fontId="40" fillId="12" borderId="7" xfId="0" applyFont="1" applyFill="1" applyBorder="1" applyAlignment="1">
      <alignment horizontal="center" vertical="center" wrapText="1"/>
    </xf>
    <xf numFmtId="0" fontId="40" fillId="12" borderId="9" xfId="0" applyFont="1" applyFill="1" applyBorder="1" applyAlignment="1">
      <alignment horizontal="center" vertical="center" wrapText="1"/>
    </xf>
    <xf numFmtId="0" fontId="5" fillId="0" borderId="55" xfId="0" applyFont="1" applyBorder="1" applyAlignment="1">
      <alignment vertical="center"/>
    </xf>
    <xf numFmtId="0" fontId="47" fillId="0" borderId="56" xfId="0" applyFont="1" applyBorder="1" applyAlignment="1">
      <alignment vertical="center"/>
    </xf>
    <xf numFmtId="0" fontId="47" fillId="0" borderId="66" xfId="0" applyFont="1" applyBorder="1" applyAlignment="1">
      <alignment vertical="center"/>
    </xf>
    <xf numFmtId="0" fontId="38" fillId="11" borderId="8" xfId="0" applyFont="1" applyFill="1" applyBorder="1" applyAlignment="1">
      <alignment horizontal="center" vertical="center"/>
    </xf>
    <xf numFmtId="4" fontId="0" fillId="3" borderId="6" xfId="0" applyNumberFormat="1" applyFill="1" applyBorder="1" applyAlignment="1">
      <alignment vertical="center"/>
    </xf>
    <xf numFmtId="0" fontId="0" fillId="0" borderId="0" xfId="0" applyAlignment="1">
      <alignment horizontal="left" wrapText="1"/>
    </xf>
    <xf numFmtId="0" fontId="69" fillId="0" borderId="0" xfId="0" applyFont="1" applyAlignment="1">
      <alignment horizontal="left" vertical="center"/>
    </xf>
    <xf numFmtId="0" fontId="49" fillId="0" borderId="0" xfId="0" applyFont="1" applyAlignment="1">
      <alignment horizontal="left" vertical="center"/>
    </xf>
    <xf numFmtId="0" fontId="41" fillId="7" borderId="57" xfId="0" applyFont="1" applyFill="1" applyBorder="1" applyAlignment="1">
      <alignment horizontal="left" vertical="center" wrapText="1"/>
    </xf>
    <xf numFmtId="0" fontId="41" fillId="7" borderId="58" xfId="0" applyFont="1" applyFill="1" applyBorder="1" applyAlignment="1">
      <alignment horizontal="left" vertical="center" wrapText="1"/>
    </xf>
    <xf numFmtId="0" fontId="41" fillId="7" borderId="59" xfId="0" applyFont="1" applyFill="1" applyBorder="1" applyAlignment="1">
      <alignment horizontal="left" vertical="center" wrapText="1"/>
    </xf>
    <xf numFmtId="164" fontId="0" fillId="0" borderId="56" xfId="0" applyNumberFormat="1" applyBorder="1" applyAlignment="1">
      <alignment horizontal="center"/>
    </xf>
    <xf numFmtId="6" fontId="0" fillId="0" borderId="41" xfId="0" applyNumberFormat="1" applyBorder="1" applyAlignment="1">
      <alignment horizontal="center"/>
    </xf>
    <xf numFmtId="0" fontId="8" fillId="0" borderId="0" xfId="0" applyFont="1" applyAlignment="1">
      <alignment horizontal="left" wrapText="1"/>
    </xf>
    <xf numFmtId="0" fontId="0" fillId="0" borderId="0" xfId="0" applyAlignment="1">
      <alignment horizontal="left"/>
    </xf>
    <xf numFmtId="0" fontId="7" fillId="0" borderId="0" xfId="0" applyFont="1" applyAlignment="1">
      <alignment horizontal="left" vertical="center" wrapText="1"/>
    </xf>
    <xf numFmtId="0" fontId="5" fillId="0" borderId="63" xfId="0" applyFont="1" applyBorder="1" applyAlignment="1">
      <alignment horizontal="left"/>
    </xf>
    <xf numFmtId="0" fontId="5" fillId="0" borderId="62" xfId="0" applyFont="1" applyBorder="1" applyAlignment="1">
      <alignment horizontal="left"/>
    </xf>
    <xf numFmtId="0" fontId="49" fillId="0" borderId="0" xfId="0" applyFont="1" applyAlignment="1">
      <alignment horizontal="left"/>
    </xf>
    <xf numFmtId="0" fontId="8" fillId="0" borderId="13" xfId="0" applyFont="1" applyBorder="1" applyAlignment="1">
      <alignment vertical="center"/>
    </xf>
    <xf numFmtId="0" fontId="8" fillId="0" borderId="0" xfId="0" applyFont="1" applyAlignment="1">
      <alignment vertical="center"/>
    </xf>
    <xf numFmtId="0" fontId="8" fillId="0" borderId="63" xfId="0" applyFont="1" applyBorder="1" applyAlignment="1">
      <alignment vertical="center"/>
    </xf>
    <xf numFmtId="0" fontId="8" fillId="0" borderId="62" xfId="0" applyFont="1" applyBorder="1" applyAlignment="1">
      <alignment vertical="center"/>
    </xf>
    <xf numFmtId="0" fontId="8" fillId="0" borderId="35" xfId="0" applyFont="1" applyBorder="1" applyAlignment="1">
      <alignment vertical="center"/>
    </xf>
    <xf numFmtId="0" fontId="0" fillId="0" borderId="60" xfId="0" applyBorder="1" applyAlignment="1">
      <alignment horizontal="left"/>
    </xf>
    <xf numFmtId="0" fontId="0" fillId="0" borderId="41" xfId="0" applyBorder="1" applyAlignment="1">
      <alignment horizontal="left"/>
    </xf>
    <xf numFmtId="0" fontId="7" fillId="0" borderId="51" xfId="0" applyFont="1" applyBorder="1" applyAlignment="1">
      <alignment vertical="center"/>
    </xf>
    <xf numFmtId="0" fontId="7" fillId="0" borderId="39" xfId="0" applyFont="1" applyBorder="1" applyAlignment="1">
      <alignment vertical="center"/>
    </xf>
    <xf numFmtId="0" fontId="44" fillId="12" borderId="55" xfId="0" applyFont="1" applyFill="1" applyBorder="1" applyAlignment="1">
      <alignment horizontal="left" vertical="center"/>
    </xf>
    <xf numFmtId="0" fontId="44" fillId="12" borderId="56" xfId="0" applyFont="1" applyFill="1" applyBorder="1" applyAlignment="1">
      <alignment horizontal="left" vertical="center"/>
    </xf>
    <xf numFmtId="0" fontId="8" fillId="0" borderId="0" xfId="0" applyFont="1" applyAlignment="1">
      <alignment vertical="center" wrapText="1"/>
    </xf>
    <xf numFmtId="164" fontId="0" fillId="0" borderId="41" xfId="0" applyNumberFormat="1" applyBorder="1" applyAlignment="1">
      <alignment horizontal="center" vertical="center" wrapText="1"/>
    </xf>
    <xf numFmtId="164" fontId="42" fillId="3" borderId="56" xfId="0" applyNumberFormat="1" applyFont="1" applyFill="1" applyBorder="1" applyAlignment="1">
      <alignment horizontal="center" vertical="center" wrapText="1"/>
    </xf>
    <xf numFmtId="0" fontId="0" fillId="0" borderId="0" xfId="0" applyAlignment="1">
      <alignment vertical="center" wrapText="1"/>
    </xf>
    <xf numFmtId="0" fontId="48" fillId="0" borderId="0" xfId="0" applyFont="1" applyAlignment="1">
      <alignment horizontal="left" vertical="center"/>
    </xf>
    <xf numFmtId="0" fontId="43" fillId="0" borderId="0" xfId="0" applyFont="1" applyAlignment="1">
      <alignment horizontal="left" vertical="center"/>
    </xf>
    <xf numFmtId="0" fontId="0" fillId="0" borderId="41" xfId="0" applyBorder="1"/>
    <xf numFmtId="0" fontId="5" fillId="0" borderId="63" xfId="0" applyFont="1" applyBorder="1" applyAlignment="1">
      <alignment vertical="center" wrapText="1"/>
    </xf>
    <xf numFmtId="0" fontId="5" fillId="0" borderId="62" xfId="0" applyFont="1" applyBorder="1" applyAlignment="1">
      <alignment vertical="center" wrapText="1"/>
    </xf>
    <xf numFmtId="0" fontId="48" fillId="0" borderId="0" xfId="0" applyFont="1" applyAlignment="1">
      <alignment horizont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63" xfId="0" applyBorder="1" applyAlignment="1">
      <alignment vertical="center"/>
    </xf>
    <xf numFmtId="0" fontId="0" fillId="0" borderId="62" xfId="0" applyBorder="1" applyAlignment="1">
      <alignment vertical="center"/>
    </xf>
    <xf numFmtId="0" fontId="0" fillId="0" borderId="35" xfId="0" applyBorder="1" applyAlignment="1">
      <alignment vertical="center"/>
    </xf>
    <xf numFmtId="0" fontId="44" fillId="12" borderId="0" xfId="0" applyFont="1" applyFill="1" applyAlignment="1">
      <alignment horizontal="center" vertical="center" wrapText="1"/>
    </xf>
    <xf numFmtId="0" fontId="44" fillId="12" borderId="14" xfId="0" applyFont="1" applyFill="1" applyBorder="1" applyAlignment="1">
      <alignment horizontal="center" vertical="center" wrapText="1"/>
    </xf>
    <xf numFmtId="0" fontId="5" fillId="0" borderId="0" xfId="0" applyFont="1" applyAlignment="1">
      <alignment vertical="center" wrapText="1"/>
    </xf>
    <xf numFmtId="0" fontId="44" fillId="12" borderId="6" xfId="0" applyFont="1" applyFill="1" applyBorder="1" applyAlignment="1">
      <alignment horizontal="center" vertical="center" wrapText="1"/>
    </xf>
    <xf numFmtId="0" fontId="44" fillId="12" borderId="23" xfId="0" applyFont="1" applyFill="1" applyBorder="1" applyAlignment="1">
      <alignment horizontal="center" vertical="center" wrapText="1"/>
    </xf>
    <xf numFmtId="0" fontId="0" fillId="0" borderId="29" xfId="0" applyBorder="1" applyAlignment="1">
      <alignment horizontal="right" vertical="center" wrapText="1"/>
    </xf>
    <xf numFmtId="0" fontId="0" fillId="0" borderId="72" xfId="0" applyBorder="1" applyAlignment="1">
      <alignment horizontal="right" vertical="center" wrapText="1"/>
    </xf>
    <xf numFmtId="0" fontId="6" fillId="12" borderId="74"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6" fillId="12" borderId="21" xfId="0" applyFont="1" applyFill="1" applyBorder="1" applyAlignment="1">
      <alignment horizontal="left" vertical="center" wrapText="1"/>
    </xf>
    <xf numFmtId="0" fontId="6" fillId="12" borderId="63" xfId="0" applyFont="1" applyFill="1" applyBorder="1" applyAlignment="1">
      <alignment horizontal="left" vertical="center" wrapText="1"/>
    </xf>
    <xf numFmtId="0" fontId="6" fillId="12" borderId="62" xfId="0" applyFont="1" applyFill="1" applyBorder="1" applyAlignment="1">
      <alignment horizontal="left" vertical="center" wrapText="1"/>
    </xf>
    <xf numFmtId="0" fontId="6" fillId="12" borderId="68" xfId="0" applyFont="1" applyFill="1" applyBorder="1" applyAlignment="1">
      <alignment horizontal="left" vertical="center" wrapText="1"/>
    </xf>
    <xf numFmtId="0" fontId="53" fillId="12" borderId="7" xfId="0" applyFont="1" applyFill="1" applyBorder="1" applyAlignment="1">
      <alignment horizontal="left" vertical="center" wrapText="1"/>
    </xf>
    <xf numFmtId="0" fontId="53" fillId="12" borderId="8" xfId="0" applyFont="1" applyFill="1" applyBorder="1" applyAlignment="1">
      <alignment horizontal="left" vertical="center" wrapText="1"/>
    </xf>
    <xf numFmtId="9" fontId="46" fillId="0" borderId="8" xfId="0" applyNumberFormat="1" applyFont="1" applyBorder="1" applyAlignment="1">
      <alignment horizontal="right" vertical="center" wrapText="1"/>
    </xf>
    <xf numFmtId="9" fontId="46" fillId="0" borderId="9" xfId="0" applyNumberFormat="1" applyFont="1" applyBorder="1" applyAlignment="1">
      <alignment horizontal="right" vertical="center" wrapText="1"/>
    </xf>
    <xf numFmtId="0" fontId="6" fillId="12" borderId="22"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0" fillId="0" borderId="6" xfId="0" applyBorder="1" applyAlignment="1">
      <alignment horizontal="right" vertical="center" wrapText="1"/>
    </xf>
    <xf numFmtId="0" fontId="6" fillId="12" borderId="36" xfId="0" applyFont="1" applyFill="1" applyBorder="1" applyAlignment="1">
      <alignment horizontal="left" vertical="center" wrapText="1"/>
    </xf>
    <xf numFmtId="0" fontId="6" fillId="12" borderId="70" xfId="0" applyFont="1" applyFill="1" applyBorder="1" applyAlignment="1">
      <alignment horizontal="left" vertical="center" wrapText="1"/>
    </xf>
    <xf numFmtId="0" fontId="6" fillId="12" borderId="30" xfId="0" applyFont="1" applyFill="1" applyBorder="1" applyAlignment="1">
      <alignment horizontal="left" vertical="center" wrapText="1"/>
    </xf>
    <xf numFmtId="0" fontId="6" fillId="12" borderId="31" xfId="0" applyFont="1" applyFill="1" applyBorder="1" applyAlignment="1">
      <alignment horizontal="left" vertical="center" wrapText="1"/>
    </xf>
    <xf numFmtId="0" fontId="0" fillId="0" borderId="29" xfId="0" applyBorder="1" applyAlignment="1">
      <alignment horizontal="right" vertical="top" wrapText="1"/>
    </xf>
    <xf numFmtId="0" fontId="0" fillId="0" borderId="72" xfId="0" applyBorder="1" applyAlignment="1">
      <alignment horizontal="right" vertical="top" wrapText="1"/>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66" xfId="0" applyFont="1" applyBorder="1" applyAlignment="1">
      <alignment horizontal="left" vertical="center"/>
    </xf>
    <xf numFmtId="0" fontId="69" fillId="3" borderId="0" xfId="0" applyFont="1" applyFill="1"/>
    <xf numFmtId="0" fontId="50" fillId="0" borderId="0" xfId="0" applyFont="1"/>
    <xf numFmtId="4" fontId="0" fillId="3" borderId="11" xfId="0" applyNumberFormat="1" applyFill="1" applyBorder="1" applyAlignment="1">
      <alignment vertical="center"/>
    </xf>
    <xf numFmtId="4" fontId="0" fillId="3" borderId="6" xfId="0" applyNumberFormat="1" applyFill="1" applyBorder="1" applyAlignment="1">
      <alignment horizontal="right" vertical="center"/>
    </xf>
    <xf numFmtId="4" fontId="0" fillId="3" borderId="11" xfId="0" applyNumberFormat="1" applyFill="1" applyBorder="1" applyAlignment="1">
      <alignment horizontal="right" vertical="center"/>
    </xf>
    <xf numFmtId="3" fontId="0" fillId="3" borderId="6" xfId="0" applyNumberFormat="1" applyFill="1" applyBorder="1" applyAlignment="1">
      <alignment horizontal="right" vertical="center"/>
    </xf>
    <xf numFmtId="3" fontId="0" fillId="3" borderId="11" xfId="0" applyNumberFormat="1" applyFill="1" applyBorder="1" applyAlignment="1">
      <alignment horizontal="right" vertical="center"/>
    </xf>
    <xf numFmtId="0" fontId="38" fillId="11" borderId="37" xfId="0" applyFont="1" applyFill="1" applyBorder="1" applyAlignment="1">
      <alignment horizontal="center" vertical="center"/>
    </xf>
    <xf numFmtId="0" fontId="38" fillId="11" borderId="6" xfId="0" applyFont="1" applyFill="1" applyBorder="1" applyAlignment="1">
      <alignment horizontal="center" vertical="center"/>
    </xf>
    <xf numFmtId="168" fontId="0" fillId="3" borderId="6" xfId="2" applyNumberFormat="1" applyFont="1" applyFill="1" applyBorder="1" applyAlignment="1">
      <alignment horizontal="center" vertical="center"/>
    </xf>
    <xf numFmtId="168" fontId="0" fillId="3" borderId="5" xfId="2" applyNumberFormat="1" applyFont="1" applyFill="1" applyBorder="1" applyAlignment="1">
      <alignment horizontal="center" vertical="center"/>
    </xf>
    <xf numFmtId="0" fontId="63" fillId="0" borderId="0" xfId="0" applyFont="1" applyAlignment="1">
      <alignment horizontal="center" vertical="center"/>
    </xf>
    <xf numFmtId="0" fontId="65" fillId="0" borderId="0" xfId="0" applyFont="1" applyAlignment="1">
      <alignment horizontal="center" vertical="center"/>
    </xf>
    <xf numFmtId="0" fontId="0" fillId="0" borderId="0" xfId="0"/>
    <xf numFmtId="0" fontId="5" fillId="0" borderId="0" xfId="0" applyFont="1" applyAlignment="1">
      <alignment horizontal="center"/>
    </xf>
    <xf numFmtId="4" fontId="56" fillId="2" borderId="42" xfId="0" applyNumberFormat="1" applyFont="1" applyFill="1" applyBorder="1" applyAlignment="1">
      <alignment horizontal="center"/>
    </xf>
    <xf numFmtId="4" fontId="56" fillId="2" borderId="41" xfId="0" applyNumberFormat="1" applyFont="1" applyFill="1" applyBorder="1" applyAlignment="1">
      <alignment horizontal="center"/>
    </xf>
    <xf numFmtId="4" fontId="56" fillId="2" borderId="37"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xf numFmtId="4" fontId="55" fillId="0" borderId="0" xfId="0" applyNumberFormat="1" applyFont="1"/>
    <xf numFmtId="4" fontId="56" fillId="2" borderId="43" xfId="0" applyNumberFormat="1" applyFont="1" applyFill="1" applyBorder="1" applyAlignment="1">
      <alignment horizontal="center"/>
    </xf>
    <xf numFmtId="4" fontId="56" fillId="2" borderId="6" xfId="0" applyNumberFormat="1" applyFont="1" applyFill="1" applyBorder="1" applyAlignment="1">
      <alignment horizontal="center"/>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3">
    <cellStyle name="Komma" xfId="2" builtinId="3"/>
    <cellStyle name="Link" xfId="1" builtinId="8"/>
    <cellStyle name="Normal" xfId="0" builtinId="0"/>
  </cellStyles>
  <dxfs count="0"/>
  <tableStyles count="0" defaultTableStyle="TableStyleMedium2" defaultPivotStyle="PivotStyleLight16"/>
  <colors>
    <mruColors>
      <color rgb="FFFF5955"/>
      <color rgb="FF003FC2"/>
      <color rgb="FF79C2FF"/>
      <color rgb="FF9FD4E3"/>
      <color rgb="FFFF76DA"/>
      <color rgb="FF0076DA"/>
      <color rgb="FF008DAB"/>
      <color rgb="FFBC0515"/>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1536700</xdr:colOff>
      <xdr:row>1</xdr:row>
      <xdr:rowOff>715928</xdr:rowOff>
    </xdr:to>
    <xdr:pic>
      <xdr:nvPicPr>
        <xdr:cNvPr id="4" name="Billede 3">
          <a:extLst>
            <a:ext uri="{FF2B5EF4-FFF2-40B4-BE49-F238E27FC236}">
              <a16:creationId xmlns:a16="http://schemas.microsoft.com/office/drawing/2014/main" id="{4982B8A7-9CD6-4797-6596-1D787ADAA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50" y="349250"/>
          <a:ext cx="1536700" cy="71592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2"/>
  <sheetViews>
    <sheetView showGridLines="0" zoomScaleNormal="100" workbookViewId="0">
      <selection activeCell="H44" sqref="H44"/>
    </sheetView>
  </sheetViews>
  <sheetFormatPr defaultColWidth="8.81640625" defaultRowHeight="14.5"/>
  <cols>
    <col min="1" max="1" width="4.81640625" customWidth="1"/>
    <col min="2" max="2" width="31.81640625" bestFit="1" customWidth="1"/>
    <col min="3" max="3" width="6.36328125" bestFit="1" customWidth="1"/>
    <col min="4" max="4" width="18.1796875" customWidth="1"/>
    <col min="5" max="5" width="24.1796875" customWidth="1"/>
    <col min="6" max="6" width="22.6328125" customWidth="1"/>
    <col min="10" max="10" width="24.6328125" bestFit="1" customWidth="1"/>
  </cols>
  <sheetData>
    <row r="1" spans="2:12" ht="27.25" customHeight="1" thickBot="1"/>
    <row r="2" spans="2:12" ht="47.5" customHeight="1">
      <c r="B2" s="91" t="e" vm="1">
        <v>#VALUE!</v>
      </c>
      <c r="C2" s="432" t="s">
        <v>338</v>
      </c>
      <c r="D2" s="432"/>
      <c r="E2" s="432"/>
      <c r="F2" s="433"/>
      <c r="G2" s="93"/>
      <c r="H2" s="93"/>
      <c r="I2" s="93"/>
      <c r="J2" s="93"/>
      <c r="K2" s="93"/>
      <c r="L2" s="93"/>
    </row>
    <row r="3" spans="2:12">
      <c r="B3" s="337" t="s">
        <v>171</v>
      </c>
      <c r="C3" s="436"/>
      <c r="D3" s="436"/>
      <c r="E3" s="436"/>
      <c r="F3" s="437"/>
      <c r="I3" s="94" t="s">
        <v>187</v>
      </c>
    </row>
    <row r="4" spans="2:12" ht="42.5" customHeight="1">
      <c r="B4" s="337" t="s">
        <v>350</v>
      </c>
      <c r="C4" s="436"/>
      <c r="D4" s="436"/>
      <c r="E4" s="436"/>
      <c r="F4" s="437"/>
      <c r="I4" s="94" t="s">
        <v>188</v>
      </c>
    </row>
    <row r="5" spans="2:12">
      <c r="B5" s="338" t="s">
        <v>351</v>
      </c>
      <c r="C5" s="365"/>
      <c r="D5" s="434" t="s">
        <v>170</v>
      </c>
      <c r="E5" s="434"/>
      <c r="F5" s="435"/>
    </row>
    <row r="6" spans="2:12">
      <c r="B6" s="338" t="s">
        <v>352</v>
      </c>
      <c r="C6" s="438"/>
      <c r="D6" s="438"/>
      <c r="E6" s="438"/>
      <c r="F6" s="439"/>
    </row>
    <row r="7" spans="2:12" ht="29">
      <c r="B7" s="337" t="s">
        <v>353</v>
      </c>
      <c r="C7" s="440"/>
      <c r="D7" s="440"/>
      <c r="E7" s="440"/>
      <c r="F7" s="441"/>
    </row>
    <row r="8" spans="2:12" ht="43.5">
      <c r="B8" s="337" t="s">
        <v>354</v>
      </c>
      <c r="C8" s="440"/>
      <c r="D8" s="440"/>
      <c r="E8" s="440"/>
      <c r="F8" s="441"/>
    </row>
    <row r="9" spans="2:12" ht="29">
      <c r="B9" s="337" t="s">
        <v>176</v>
      </c>
      <c r="C9" s="378"/>
      <c r="D9" s="378"/>
      <c r="E9" s="378"/>
      <c r="F9" s="379"/>
    </row>
    <row r="10" spans="2:12">
      <c r="B10" s="337" t="s">
        <v>218</v>
      </c>
      <c r="C10" s="378"/>
      <c r="D10" s="378"/>
      <c r="E10" s="378"/>
      <c r="F10" s="379"/>
    </row>
    <row r="11" spans="2:12">
      <c r="B11" s="337" t="s">
        <v>217</v>
      </c>
      <c r="C11" s="378"/>
      <c r="D11" s="378"/>
      <c r="E11" s="378"/>
      <c r="F11" s="379"/>
    </row>
    <row r="12" spans="2:12">
      <c r="B12" s="337" t="s">
        <v>208</v>
      </c>
      <c r="C12" s="378"/>
      <c r="D12" s="378"/>
      <c r="E12" s="378"/>
      <c r="F12" s="379"/>
    </row>
    <row r="13" spans="2:12" ht="15" thickBot="1">
      <c r="B13" s="339" t="s">
        <v>209</v>
      </c>
      <c r="C13" s="380"/>
      <c r="D13" s="380"/>
      <c r="E13" s="380"/>
      <c r="F13" s="381"/>
    </row>
    <row r="15" spans="2:12" ht="19.25" customHeight="1" thickBot="1">
      <c r="F15" s="81"/>
    </row>
    <row r="16" spans="2:12" ht="29" customHeight="1" thickBot="1">
      <c r="B16" s="406" t="s">
        <v>172</v>
      </c>
      <c r="C16" s="407"/>
      <c r="D16" s="407"/>
      <c r="E16" s="407"/>
      <c r="F16" s="408"/>
    </row>
    <row r="17" spans="2:6">
      <c r="B17" s="409"/>
      <c r="C17" s="410"/>
      <c r="D17" s="410"/>
      <c r="E17" s="340" t="s">
        <v>219</v>
      </c>
      <c r="F17" s="341" t="s">
        <v>220</v>
      </c>
    </row>
    <row r="18" spans="2:6">
      <c r="B18" s="388" t="s">
        <v>173</v>
      </c>
      <c r="C18" s="389"/>
      <c r="D18" s="389"/>
      <c r="E18" s="342" t="e">
        <f>'Aktuelle data'!B49*C5/37</f>
        <v>#N/A</v>
      </c>
      <c r="F18" s="343" t="e">
        <f>E18/12</f>
        <v>#N/A</v>
      </c>
    </row>
    <row r="19" spans="2:6">
      <c r="B19" s="388" t="s">
        <v>191</v>
      </c>
      <c r="C19" s="389"/>
      <c r="D19" s="389"/>
      <c r="E19" s="342">
        <f>'Aktuelle data'!B44*'Aktuelle data'!C37*C5/37</f>
        <v>0</v>
      </c>
      <c r="F19" s="343">
        <f>E19/12</f>
        <v>0</v>
      </c>
    </row>
    <row r="20" spans="2:6">
      <c r="B20" s="388" t="s">
        <v>174</v>
      </c>
      <c r="C20" s="389"/>
      <c r="D20" s="389"/>
      <c r="E20" s="342">
        <f>C7*E52*C5/37</f>
        <v>0</v>
      </c>
      <c r="F20" s="343">
        <f t="shared" ref="F20:F21" si="0">E20/12</f>
        <v>0</v>
      </c>
    </row>
    <row r="21" spans="2:6">
      <c r="B21" s="388" t="s">
        <v>175</v>
      </c>
      <c r="C21" s="389"/>
      <c r="D21" s="389"/>
      <c r="E21" s="342">
        <f>C8*E52</f>
        <v>0</v>
      </c>
      <c r="F21" s="343">
        <f t="shared" si="0"/>
        <v>0</v>
      </c>
    </row>
    <row r="22" spans="2:6">
      <c r="B22" s="401" t="s">
        <v>177</v>
      </c>
      <c r="C22" s="402"/>
      <c r="D22" s="402"/>
      <c r="E22" s="385"/>
      <c r="F22" s="345" t="e">
        <f>C9*E39</f>
        <v>#N/A</v>
      </c>
    </row>
    <row r="23" spans="2:6">
      <c r="B23" s="401" t="s">
        <v>216</v>
      </c>
      <c r="C23" s="402"/>
      <c r="D23" s="402"/>
      <c r="E23" s="386"/>
      <c r="F23" s="345" t="e">
        <f>C10*E37</f>
        <v>#N/A</v>
      </c>
    </row>
    <row r="24" spans="2:6">
      <c r="B24" s="401" t="s">
        <v>215</v>
      </c>
      <c r="C24" s="402"/>
      <c r="D24" s="402"/>
      <c r="E24" s="386"/>
      <c r="F24" s="345" t="e">
        <f>C11*E37*1.5</f>
        <v>#N/A</v>
      </c>
    </row>
    <row r="25" spans="2:6">
      <c r="B25" s="346"/>
      <c r="C25" s="334"/>
      <c r="D25" s="334"/>
      <c r="E25" s="387"/>
      <c r="F25" s="347"/>
    </row>
    <row r="26" spans="2:6" ht="30" customHeight="1" thickBot="1">
      <c r="B26" s="414" t="s">
        <v>214</v>
      </c>
      <c r="C26" s="415"/>
      <c r="D26" s="415"/>
      <c r="E26" s="349" t="e">
        <f>SUM(E18:E21)</f>
        <v>#N/A</v>
      </c>
      <c r="F26" s="350" t="e">
        <f>E26/12</f>
        <v>#N/A</v>
      </c>
    </row>
    <row r="27" spans="2:6" ht="43.5" customHeight="1" thickBot="1">
      <c r="B27" s="424" t="s">
        <v>224</v>
      </c>
      <c r="C27" s="425"/>
      <c r="D27" s="425"/>
      <c r="E27" s="351"/>
      <c r="F27" s="352" t="e">
        <f>F18+F19+F20+F21+F22+F23+F24+F33+F34</f>
        <v>#N/A</v>
      </c>
    </row>
    <row r="28" spans="2:6" ht="15" thickBot="1">
      <c r="B28" s="400"/>
      <c r="C28" s="400"/>
      <c r="D28" s="400"/>
      <c r="E28" s="400"/>
      <c r="F28" s="400"/>
    </row>
    <row r="29" spans="2:6" ht="15" thickBot="1">
      <c r="B29" s="398" t="s">
        <v>235</v>
      </c>
      <c r="C29" s="399"/>
      <c r="D29" s="399"/>
      <c r="E29" s="355" t="e">
        <f>(('Aktuelle data'!B49+('Aktuelle data'!B44*'Aktuelle data'!C37)+Musikskolelærere!E20+Musikskolelærere!E21)*'Aktuelle data'!C38/100*C5/37)</f>
        <v>#N/A</v>
      </c>
      <c r="F29" s="356" t="e">
        <f>E29/12</f>
        <v>#N/A</v>
      </c>
    </row>
    <row r="30" spans="2:6" ht="15" thickBot="1">
      <c r="B30" s="357"/>
      <c r="C30" s="357"/>
      <c r="D30" s="357"/>
      <c r="E30" s="357"/>
      <c r="F30" s="358"/>
    </row>
    <row r="31" spans="2:6" ht="15" thickBot="1">
      <c r="B31" s="426" t="s">
        <v>222</v>
      </c>
      <c r="C31" s="427"/>
      <c r="D31" s="428"/>
      <c r="E31" s="359" cm="1">
        <f t="array" ref="E31">_xlfn.IFS(C5&gt;=27,'Aktuelle data'!AN5,Musikskolelærere!C5&gt;=18,'Aktuelle data'!AN6,Musikskolelærere!C5&gt;=9,'Aktuelle data'!AN7,Musikskolelærere!C5&lt;9,0)</f>
        <v>0</v>
      </c>
      <c r="F31" s="358"/>
    </row>
    <row r="32" spans="2:6" ht="15" thickBot="1">
      <c r="B32" s="357"/>
      <c r="C32" s="357"/>
      <c r="D32" s="357"/>
      <c r="E32" s="357"/>
      <c r="F32" s="358"/>
    </row>
    <row r="33" spans="2:6">
      <c r="B33" s="392" t="s">
        <v>206</v>
      </c>
      <c r="C33" s="393"/>
      <c r="D33" s="393"/>
      <c r="E33" s="394"/>
      <c r="F33" s="360">
        <f>C12*'Aktuelle data'!C40</f>
        <v>0</v>
      </c>
    </row>
    <row r="34" spans="2:6" ht="15" thickBot="1">
      <c r="B34" s="395" t="s">
        <v>207</v>
      </c>
      <c r="C34" s="396"/>
      <c r="D34" s="396"/>
      <c r="E34" s="397"/>
      <c r="F34" s="361">
        <f>C13*'Aktuelle data'!C41</f>
        <v>0</v>
      </c>
    </row>
    <row r="35" spans="2:6" ht="15" thickBot="1">
      <c r="B35" s="357"/>
      <c r="C35" s="357"/>
      <c r="D35" s="357"/>
      <c r="E35" s="357"/>
      <c r="F35" s="358"/>
    </row>
    <row r="36" spans="2:6">
      <c r="B36" s="416" t="s">
        <v>332</v>
      </c>
      <c r="C36" s="417"/>
      <c r="D36" s="417"/>
      <c r="E36" s="362" t="e">
        <f>('Aktuelle data'!B49+('Aktuelle data'!B44*'Aktuelle data'!C37)+(Musikskolelærere!C7*'Aktuelle data'!C37)+(Musikskolelærere!C8*'Aktuelle data'!C37))</f>
        <v>#N/A</v>
      </c>
      <c r="F36" s="358"/>
    </row>
    <row r="37" spans="2:6">
      <c r="B37" s="388" t="s">
        <v>180</v>
      </c>
      <c r="C37" s="389"/>
      <c r="D37" s="389"/>
      <c r="E37" s="363" t="e">
        <f>E36/1924</f>
        <v>#N/A</v>
      </c>
      <c r="F37" s="358"/>
    </row>
    <row r="38" spans="2:6">
      <c r="B38" s="418" t="s">
        <v>333</v>
      </c>
      <c r="C38" s="419"/>
      <c r="D38" s="420"/>
      <c r="E38" s="364" t="e">
        <f>E37+(E37*'Aktuelle data'!C38/3/100)</f>
        <v>#N/A</v>
      </c>
      <c r="F38" s="358"/>
    </row>
    <row r="39" spans="2:6" ht="15" thickBot="1">
      <c r="B39" s="390" t="s">
        <v>237</v>
      </c>
      <c r="C39" s="391"/>
      <c r="D39" s="391"/>
      <c r="E39" s="350" t="e">
        <f>E37/4</f>
        <v>#N/A</v>
      </c>
      <c r="F39" s="358"/>
    </row>
    <row r="40" spans="2:6" ht="15" thickBot="1">
      <c r="B40" s="334"/>
      <c r="C40" s="334"/>
      <c r="D40" s="334"/>
      <c r="E40" s="334"/>
      <c r="F40" s="334"/>
    </row>
    <row r="41" spans="2:6" ht="24" thickBot="1">
      <c r="B41" s="411" t="s">
        <v>192</v>
      </c>
      <c r="C41" s="412"/>
      <c r="D41" s="412"/>
      <c r="E41" s="412"/>
      <c r="F41" s="413"/>
    </row>
    <row r="42" spans="2:6" s="82" customFormat="1">
      <c r="B42" s="421" t="s">
        <v>189</v>
      </c>
      <c r="C42" s="422"/>
      <c r="D42" s="422"/>
      <c r="E42" s="422"/>
      <c r="F42" s="423"/>
    </row>
    <row r="43" spans="2:6" ht="27.75" customHeight="1">
      <c r="B43" s="403" t="s">
        <v>233</v>
      </c>
      <c r="C43" s="404"/>
      <c r="D43" s="404"/>
      <c r="E43" s="404"/>
      <c r="F43" s="405"/>
    </row>
    <row r="44" spans="2:6" ht="59" customHeight="1">
      <c r="B44" s="429" t="s">
        <v>234</v>
      </c>
      <c r="C44" s="430"/>
      <c r="D44" s="430"/>
      <c r="E44" s="430"/>
      <c r="F44" s="431"/>
    </row>
    <row r="45" spans="2:6" s="12" customFormat="1" ht="45.5" customHeight="1">
      <c r="B45" s="403" t="s">
        <v>236</v>
      </c>
      <c r="C45" s="404"/>
      <c r="D45" s="404"/>
      <c r="E45" s="404"/>
      <c r="F45" s="405"/>
    </row>
    <row r="46" spans="2:6" ht="41.5" customHeight="1" thickBot="1">
      <c r="B46" s="382" t="s">
        <v>331</v>
      </c>
      <c r="C46" s="383"/>
      <c r="D46" s="383"/>
      <c r="E46" s="383"/>
      <c r="F46" s="384"/>
    </row>
    <row r="47" spans="2:6" ht="15" thickBot="1">
      <c r="B47" s="375" t="s">
        <v>225</v>
      </c>
      <c r="C47" s="376"/>
      <c r="D47" s="376"/>
      <c r="E47" s="376"/>
      <c r="F47" s="377"/>
    </row>
    <row r="48" spans="2:6">
      <c r="B48" s="89"/>
      <c r="C48" s="89"/>
      <c r="D48" s="89"/>
      <c r="E48" s="89"/>
      <c r="F48" s="89"/>
    </row>
    <row r="49" spans="2:6" ht="28.5">
      <c r="B49" s="83" t="s">
        <v>181</v>
      </c>
      <c r="C49" s="84"/>
      <c r="D49" s="85"/>
      <c r="E49" s="84" t="e">
        <f>'Aktuelle data'!B46</f>
        <v>#N/A</v>
      </c>
      <c r="F49" s="89"/>
    </row>
    <row r="50" spans="2:6" ht="28.5">
      <c r="B50" s="83" t="s">
        <v>173</v>
      </c>
      <c r="C50" s="84"/>
      <c r="D50" s="85"/>
      <c r="E50" s="86" t="e">
        <f>'Aktuelle data'!B49</f>
        <v>#N/A</v>
      </c>
      <c r="F50" s="89"/>
    </row>
    <row r="51" spans="2:6" ht="28.5">
      <c r="B51" s="83" t="s">
        <v>200</v>
      </c>
      <c r="C51" s="84"/>
      <c r="D51" s="85"/>
      <c r="E51" s="86" t="e">
        <f>'Aktuelle data'!B50</f>
        <v>#N/A</v>
      </c>
      <c r="F51" s="89"/>
    </row>
    <row r="52" spans="2:6" ht="28.5">
      <c r="B52" s="83" t="s">
        <v>185</v>
      </c>
      <c r="C52" s="84"/>
      <c r="D52" s="85"/>
      <c r="E52" s="87">
        <f>'Aktuelle data'!C37</f>
        <v>1.57765</v>
      </c>
      <c r="F52" s="89"/>
    </row>
    <row r="53" spans="2:6">
      <c r="F53" s="89"/>
    </row>
    <row r="54" spans="2:6">
      <c r="B54" s="89"/>
      <c r="C54" s="89"/>
      <c r="D54" s="89"/>
      <c r="E54" s="89"/>
      <c r="F54" s="89"/>
    </row>
    <row r="55" spans="2:6">
      <c r="B55" s="89"/>
      <c r="C55" s="89"/>
      <c r="D55" s="89"/>
      <c r="E55" s="89"/>
      <c r="F55" s="89"/>
    </row>
    <row r="56" spans="2:6">
      <c r="B56" s="89"/>
      <c r="C56" s="89"/>
      <c r="D56" s="89"/>
      <c r="E56" s="89"/>
      <c r="F56" s="89"/>
    </row>
    <row r="57" spans="2:6">
      <c r="B57" s="89"/>
      <c r="C57" s="89"/>
      <c r="D57" s="89"/>
      <c r="E57" s="89"/>
      <c r="F57" s="89"/>
    </row>
    <row r="58" spans="2:6">
      <c r="B58" s="89"/>
      <c r="C58" s="89"/>
      <c r="D58" s="89"/>
      <c r="E58" s="89"/>
      <c r="F58" s="89"/>
    </row>
    <row r="59" spans="2:6">
      <c r="B59" s="89"/>
      <c r="C59" s="89"/>
      <c r="D59" s="89"/>
      <c r="E59" s="89"/>
      <c r="F59" s="89"/>
    </row>
    <row r="60" spans="2:6">
      <c r="B60" s="89"/>
      <c r="C60" s="89"/>
      <c r="D60" s="89"/>
      <c r="E60" s="89"/>
      <c r="F60" s="89"/>
    </row>
    <row r="61" spans="2:6">
      <c r="B61" s="89"/>
      <c r="C61" s="89"/>
      <c r="D61" s="89"/>
      <c r="E61" s="89"/>
      <c r="F61" s="89"/>
    </row>
    <row r="62" spans="2:6">
      <c r="B62" s="89"/>
      <c r="C62" s="89"/>
      <c r="D62" s="89"/>
      <c r="E62" s="89"/>
      <c r="F62" s="89"/>
    </row>
    <row r="63" spans="2:6">
      <c r="B63" s="89"/>
      <c r="C63" s="89"/>
      <c r="D63" s="89"/>
      <c r="E63" s="89"/>
      <c r="F63" s="89"/>
    </row>
    <row r="64" spans="2:6">
      <c r="B64" s="89"/>
      <c r="C64" s="89"/>
      <c r="D64" s="89"/>
      <c r="E64" s="89"/>
      <c r="F64" s="89"/>
    </row>
    <row r="65" spans="2:6">
      <c r="B65" s="89"/>
      <c r="C65" s="89"/>
      <c r="D65" s="89"/>
      <c r="E65" s="89"/>
      <c r="F65" s="89"/>
    </row>
    <row r="66" spans="2:6">
      <c r="B66" s="89"/>
      <c r="C66" s="89"/>
      <c r="D66" s="89"/>
      <c r="E66" s="89"/>
      <c r="F66" s="89"/>
    </row>
    <row r="67" spans="2:6">
      <c r="B67" s="89"/>
      <c r="C67" s="89"/>
      <c r="D67" s="89"/>
      <c r="E67" s="89"/>
      <c r="F67" s="89"/>
    </row>
    <row r="68" spans="2:6">
      <c r="B68" s="89"/>
      <c r="C68" s="89"/>
      <c r="D68" s="89"/>
      <c r="E68" s="89"/>
      <c r="F68" s="89"/>
    </row>
    <row r="69" spans="2:6">
      <c r="B69" s="89"/>
      <c r="C69" s="89"/>
      <c r="D69" s="89"/>
      <c r="E69" s="89"/>
      <c r="F69" s="89"/>
    </row>
    <row r="70" spans="2:6">
      <c r="B70" s="89"/>
      <c r="C70" s="89"/>
      <c r="D70" s="89"/>
      <c r="E70" s="89"/>
      <c r="F70" s="89"/>
    </row>
    <row r="71" spans="2:6">
      <c r="B71" s="89"/>
      <c r="C71" s="89"/>
      <c r="D71" s="89"/>
      <c r="E71" s="89"/>
      <c r="F71" s="89"/>
    </row>
    <row r="72" spans="2:6">
      <c r="B72" s="89"/>
      <c r="C72" s="89"/>
      <c r="D72" s="89"/>
      <c r="E72" s="89"/>
      <c r="F72" s="89"/>
    </row>
  </sheetData>
  <sheetProtection selectLockedCells="1"/>
  <mergeCells count="40">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 ref="B22:D22"/>
    <mergeCell ref="B17:D17"/>
    <mergeCell ref="B24:D24"/>
    <mergeCell ref="B19:D19"/>
    <mergeCell ref="B41:F41"/>
    <mergeCell ref="B26:D26"/>
    <mergeCell ref="B36:D36"/>
    <mergeCell ref="B38:D38"/>
    <mergeCell ref="B47:F47"/>
    <mergeCell ref="C12:F12"/>
    <mergeCell ref="C13:F13"/>
    <mergeCell ref="B46:F46"/>
    <mergeCell ref="E22:E25"/>
    <mergeCell ref="B37:D37"/>
    <mergeCell ref="B39:D39"/>
    <mergeCell ref="B33:E33"/>
    <mergeCell ref="B34:E34"/>
    <mergeCell ref="B29:D29"/>
    <mergeCell ref="B28:F28"/>
    <mergeCell ref="B23:D23"/>
    <mergeCell ref="B43:F43"/>
    <mergeCell ref="B45:F45"/>
    <mergeCell ref="B16:F16"/>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tabSelected="1" workbookViewId="0">
      <selection activeCell="C4" sqref="C4:E4"/>
    </sheetView>
  </sheetViews>
  <sheetFormatPr defaultColWidth="8.81640625" defaultRowHeight="14.5"/>
  <cols>
    <col min="1" max="1" width="4.81640625" customWidth="1"/>
    <col min="2" max="2" width="31.6328125" bestFit="1" customWidth="1"/>
    <col min="3" max="3" width="5.453125" customWidth="1"/>
    <col min="4" max="4" width="15.453125" customWidth="1"/>
    <col min="5" max="5" width="20.1796875" customWidth="1"/>
  </cols>
  <sheetData>
    <row r="1" spans="2:7" ht="27.75" customHeight="1"/>
    <row r="2" spans="2:7" ht="99.75" customHeight="1" thickBot="1">
      <c r="C2" s="442" t="s">
        <v>339</v>
      </c>
      <c r="D2" s="442"/>
      <c r="E2" s="442"/>
    </row>
    <row r="3" spans="2:7">
      <c r="B3" s="366" t="s">
        <v>171</v>
      </c>
      <c r="C3" s="443"/>
      <c r="D3" s="444"/>
      <c r="E3" s="445"/>
    </row>
    <row r="4" spans="2:7" ht="43.5">
      <c r="B4" s="337" t="s">
        <v>357</v>
      </c>
      <c r="C4" s="446"/>
      <c r="D4" s="446"/>
      <c r="E4" s="446"/>
    </row>
    <row r="5" spans="2:7">
      <c r="B5" s="338" t="s">
        <v>351</v>
      </c>
      <c r="C5" s="365"/>
      <c r="D5" s="447" t="s">
        <v>170</v>
      </c>
      <c r="E5" s="448"/>
    </row>
    <row r="6" spans="2:7">
      <c r="B6" s="338" t="s">
        <v>352</v>
      </c>
      <c r="C6" s="449"/>
      <c r="D6" s="449"/>
      <c r="E6" s="449"/>
    </row>
    <row r="7" spans="2:7">
      <c r="B7" s="338" t="s">
        <v>355</v>
      </c>
      <c r="C7" s="461"/>
      <c r="D7" s="462"/>
      <c r="E7" s="463"/>
    </row>
    <row r="8" spans="2:7" ht="29">
      <c r="B8" s="337" t="s">
        <v>226</v>
      </c>
      <c r="C8" s="455"/>
      <c r="D8" s="455"/>
      <c r="E8" s="455"/>
    </row>
    <row r="9" spans="2:7" ht="43.5">
      <c r="B9" s="337" t="s">
        <v>227</v>
      </c>
      <c r="C9" s="455"/>
      <c r="D9" s="455"/>
      <c r="E9" s="455"/>
      <c r="G9" s="88"/>
    </row>
    <row r="10" spans="2:7">
      <c r="B10" s="337" t="s">
        <v>210</v>
      </c>
      <c r="C10" s="456"/>
      <c r="D10" s="456"/>
      <c r="E10" s="456"/>
      <c r="G10" s="88"/>
    </row>
    <row r="11" spans="2:7">
      <c r="B11" s="337" t="s">
        <v>211</v>
      </c>
      <c r="C11" s="456"/>
      <c r="D11" s="456"/>
      <c r="E11" s="456"/>
      <c r="G11" s="88"/>
    </row>
    <row r="12" spans="2:7" ht="29" customHeight="1" thickBot="1">
      <c r="B12" s="339" t="s">
        <v>193</v>
      </c>
      <c r="C12" s="457"/>
      <c r="D12" s="457"/>
      <c r="E12" s="457"/>
      <c r="G12" s="88"/>
    </row>
    <row r="13" spans="2:7" ht="29" thickBot="1">
      <c r="C13" s="81"/>
      <c r="D13" s="81"/>
      <c r="E13" s="81"/>
      <c r="G13" s="88"/>
    </row>
    <row r="14" spans="2:7" ht="23.5">
      <c r="B14" s="367" t="s">
        <v>212</v>
      </c>
      <c r="C14" s="472" t="s">
        <v>178</v>
      </c>
      <c r="D14" s="472"/>
      <c r="E14" s="341" t="s">
        <v>179</v>
      </c>
      <c r="G14" s="88"/>
    </row>
    <row r="15" spans="2:7">
      <c r="B15" s="338" t="s">
        <v>173</v>
      </c>
      <c r="C15" s="454" t="e">
        <f>'Aktuelle data'!B59*C5/37</f>
        <v>#N/A</v>
      </c>
      <c r="D15" s="454"/>
      <c r="E15" s="343" t="e">
        <f>C15/12</f>
        <v>#N/A</v>
      </c>
      <c r="G15" s="88"/>
    </row>
    <row r="16" spans="2:7">
      <c r="B16" s="338" t="s">
        <v>228</v>
      </c>
      <c r="C16" s="454">
        <f>IF(C7="Ja",'Aktuelle data'!B56*'Aktuelle data'!C37*Musikskoleledere_mellemledere!C5/37,0)</f>
        <v>0</v>
      </c>
      <c r="D16" s="454"/>
      <c r="E16" s="343">
        <f>C16/12</f>
        <v>0</v>
      </c>
      <c r="G16" s="88"/>
    </row>
    <row r="17" spans="2:7">
      <c r="B17" s="368" t="s">
        <v>356</v>
      </c>
      <c r="C17" s="454">
        <f>C8*'KOMMUNALE LØNNINGER PR. 1. okto'!B36*C5/37</f>
        <v>0</v>
      </c>
      <c r="D17" s="454"/>
      <c r="E17" s="343">
        <f>C17/12</f>
        <v>0</v>
      </c>
      <c r="G17" s="88"/>
    </row>
    <row r="18" spans="2:7">
      <c r="B18" s="338" t="s">
        <v>175</v>
      </c>
      <c r="C18" s="454">
        <f>C9*'KOMMUNALE LØNNINGER PR. 1. okto'!B36</f>
        <v>0</v>
      </c>
      <c r="D18" s="454"/>
      <c r="E18" s="343">
        <f>C18/12</f>
        <v>0</v>
      </c>
      <c r="G18" s="88"/>
    </row>
    <row r="19" spans="2:7" ht="15" customHeight="1">
      <c r="B19" s="344" t="s">
        <v>194</v>
      </c>
      <c r="C19" s="454">
        <f>(C12*'Aktuelle data'!C42*'Aktuelle data'!C37)*C5/37</f>
        <v>0</v>
      </c>
      <c r="D19" s="454"/>
      <c r="E19" s="343">
        <f>C19/12</f>
        <v>0</v>
      </c>
    </row>
    <row r="20" spans="2:7" ht="30.75" customHeight="1">
      <c r="B20" s="369" t="s">
        <v>213</v>
      </c>
      <c r="C20" s="467" t="e">
        <f>C15+C17+C18+C19</f>
        <v>#N/A</v>
      </c>
      <c r="D20" s="467"/>
      <c r="E20" s="343" t="e">
        <f>E15+E16+E17+E18+E19</f>
        <v>#N/A</v>
      </c>
    </row>
    <row r="21" spans="2:7" ht="44" thickBot="1">
      <c r="B21" s="348" t="s">
        <v>223</v>
      </c>
      <c r="C21" s="391"/>
      <c r="D21" s="391"/>
      <c r="E21" s="350" t="e">
        <f>E15+E16+E17+E18+E19+E27+E28</f>
        <v>#N/A</v>
      </c>
    </row>
    <row r="22" spans="2:7" ht="15" thickBot="1">
      <c r="B22" s="370"/>
      <c r="C22" s="357"/>
      <c r="D22" s="358"/>
      <c r="E22" s="358"/>
    </row>
    <row r="23" spans="2:7" ht="15" thickBot="1">
      <c r="B23" s="354" t="s">
        <v>229</v>
      </c>
      <c r="C23" s="468" t="e">
        <f>('Aktuelle data'!B60+C16+C17+C18+C19)*'Aktuelle data'!C39/100</f>
        <v>#N/A</v>
      </c>
      <c r="D23" s="469"/>
      <c r="E23" s="356" t="e">
        <f>C23/12</f>
        <v>#N/A</v>
      </c>
    </row>
    <row r="24" spans="2:7" ht="15" thickBot="1">
      <c r="B24" s="357"/>
      <c r="C24" s="357"/>
      <c r="D24" s="357"/>
      <c r="E24" s="357"/>
    </row>
    <row r="25" spans="2:7" ht="15" customHeight="1" thickBot="1">
      <c r="B25" s="371" t="s">
        <v>221</v>
      </c>
      <c r="C25" s="452"/>
      <c r="D25" s="453"/>
      <c r="E25" s="356" cm="1">
        <f t="array" ref="E25">_xlfn.IFS(C5&gt;=27,'Aktuelle data'!AN5,Musikskoleledere_mellemledere!C5&gt;=18,'Aktuelle data'!AN6,Musikskoleledere_mellemledere!C5&gt;9,'Aktuelle data'!AN7,Musikskoleledere_mellemledere!C5&lt;9,0)</f>
        <v>0</v>
      </c>
    </row>
    <row r="26" spans="2:7" ht="15" customHeight="1" thickBot="1">
      <c r="B26" s="353"/>
      <c r="C26" s="372"/>
      <c r="D26" s="373"/>
      <c r="E26" s="374"/>
    </row>
    <row r="27" spans="2:7">
      <c r="B27" s="479" t="s">
        <v>206</v>
      </c>
      <c r="C27" s="480"/>
      <c r="D27" s="480"/>
      <c r="E27" s="362">
        <f>C10*'Aktuelle data'!C40</f>
        <v>0</v>
      </c>
    </row>
    <row r="28" spans="2:7" ht="15" thickBot="1">
      <c r="B28" s="450" t="s">
        <v>207</v>
      </c>
      <c r="C28" s="451"/>
      <c r="D28" s="451"/>
      <c r="E28" s="350">
        <f>C11*'Aktuelle data'!C41</f>
        <v>0</v>
      </c>
    </row>
    <row r="29" spans="2:7" ht="15" customHeight="1" thickBot="1">
      <c r="C29" s="90"/>
      <c r="D29" s="90"/>
      <c r="E29" s="90"/>
    </row>
    <row r="30" spans="2:7" ht="23.5">
      <c r="B30" s="476" t="s">
        <v>192</v>
      </c>
      <c r="C30" s="477"/>
      <c r="D30" s="477"/>
      <c r="E30" s="478"/>
    </row>
    <row r="31" spans="2:7" ht="14.5" customHeight="1">
      <c r="B31" s="473" t="s">
        <v>189</v>
      </c>
      <c r="C31" s="474"/>
      <c r="D31" s="474"/>
      <c r="E31" s="475"/>
    </row>
    <row r="32" spans="2:7" ht="14.5" customHeight="1">
      <c r="B32" s="403" t="s">
        <v>232</v>
      </c>
      <c r="C32" s="404"/>
      <c r="D32" s="404"/>
      <c r="E32" s="405"/>
    </row>
    <row r="33" spans="2:6" ht="29.5" customHeight="1">
      <c r="B33" s="429" t="s">
        <v>230</v>
      </c>
      <c r="C33" s="470"/>
      <c r="D33" s="470"/>
      <c r="E33" s="471"/>
    </row>
    <row r="34" spans="2:6" ht="45.75" customHeight="1" thickBot="1">
      <c r="B34" s="464" t="s">
        <v>231</v>
      </c>
      <c r="C34" s="465"/>
      <c r="D34" s="465"/>
      <c r="E34" s="466"/>
    </row>
    <row r="35" spans="2:6" ht="31.75" customHeight="1" thickBot="1">
      <c r="B35" s="458" t="s">
        <v>225</v>
      </c>
      <c r="C35" s="459"/>
      <c r="D35" s="459"/>
      <c r="E35" s="460"/>
      <c r="F35" s="92"/>
    </row>
    <row r="36" spans="2:6" ht="28.5">
      <c r="B36" s="83" t="s">
        <v>185</v>
      </c>
      <c r="C36" s="84"/>
      <c r="D36" s="85"/>
      <c r="E36" s="86">
        <f>'Aktuelle data'!C39</f>
        <v>17.09</v>
      </c>
    </row>
    <row r="37" spans="2:6">
      <c r="B37" s="83" t="s">
        <v>186</v>
      </c>
      <c r="C37" s="88"/>
      <c r="D37" s="88"/>
      <c r="E37" s="88"/>
    </row>
    <row r="38" spans="2:6">
      <c r="B38" s="88"/>
      <c r="C38" s="88"/>
      <c r="D38" s="88"/>
      <c r="E38" s="88"/>
    </row>
    <row r="39" spans="2:6">
      <c r="B39" s="88"/>
      <c r="C39" s="88"/>
      <c r="D39" s="88"/>
      <c r="E39" s="88"/>
    </row>
    <row r="40" spans="2:6">
      <c r="B40" s="88"/>
      <c r="C40" s="88"/>
      <c r="D40" s="88"/>
      <c r="E40" s="88"/>
    </row>
    <row r="41" spans="2:6">
      <c r="B41" s="88"/>
      <c r="C41" s="88"/>
      <c r="D41" s="88"/>
      <c r="E41" s="88"/>
    </row>
    <row r="42" spans="2:6">
      <c r="B42" s="88"/>
      <c r="C42" s="88"/>
      <c r="D42" s="88"/>
      <c r="E42" s="88"/>
    </row>
    <row r="43" spans="2:6">
      <c r="B43" s="88"/>
      <c r="C43" s="88"/>
      <c r="D43" s="88"/>
      <c r="E43" s="88"/>
    </row>
    <row r="44" spans="2:6">
      <c r="B44" s="88"/>
      <c r="C44" s="88"/>
      <c r="D44" s="88"/>
      <c r="E44" s="88"/>
    </row>
    <row r="45" spans="2:6">
      <c r="B45" s="88"/>
      <c r="C45" s="88"/>
      <c r="D45" s="88"/>
      <c r="E45" s="88"/>
    </row>
    <row r="46" spans="2:6">
      <c r="B46" s="88"/>
      <c r="C46" s="88"/>
      <c r="D46" s="88"/>
      <c r="E46" s="88"/>
    </row>
    <row r="47" spans="2:6">
      <c r="B47" s="88"/>
      <c r="C47" s="88"/>
      <c r="D47" s="88"/>
      <c r="E47" s="88"/>
    </row>
    <row r="48" spans="2:6">
      <c r="B48" s="88"/>
      <c r="C48" s="88"/>
      <c r="D48" s="88"/>
      <c r="E48" s="88"/>
    </row>
    <row r="49" spans="2:5">
      <c r="B49" s="88"/>
      <c r="C49" s="88"/>
      <c r="D49" s="88"/>
      <c r="E49" s="88"/>
    </row>
    <row r="50" spans="2:5">
      <c r="B50" s="88"/>
      <c r="C50" s="88"/>
      <c r="D50" s="88"/>
      <c r="E50" s="88"/>
    </row>
    <row r="51" spans="2:5">
      <c r="B51" s="88"/>
      <c r="C51" s="88"/>
      <c r="D51" s="88"/>
      <c r="E51" s="88"/>
    </row>
    <row r="52" spans="2:5">
      <c r="B52" s="88"/>
      <c r="C52" s="88"/>
      <c r="D52" s="88"/>
      <c r="E52" s="88"/>
    </row>
    <row r="53" spans="2:5">
      <c r="B53" s="88"/>
      <c r="C53" s="88"/>
      <c r="D53" s="88"/>
      <c r="E53" s="88"/>
    </row>
    <row r="54" spans="2:5">
      <c r="B54" s="88"/>
      <c r="C54" s="88"/>
      <c r="D54" s="88"/>
      <c r="E54" s="88"/>
    </row>
    <row r="55" spans="2:5">
      <c r="B55" s="88"/>
      <c r="C55" s="88"/>
      <c r="D55" s="88"/>
      <c r="E55" s="88"/>
    </row>
    <row r="56" spans="2:5">
      <c r="B56" s="88"/>
      <c r="C56" s="88"/>
      <c r="D56" s="88"/>
      <c r="E56" s="88"/>
    </row>
    <row r="57" spans="2:5">
      <c r="B57" s="88"/>
      <c r="C57" s="88"/>
      <c r="D57" s="88"/>
      <c r="E57" s="88"/>
    </row>
    <row r="58" spans="2:5">
      <c r="B58" s="88"/>
      <c r="C58" s="88"/>
      <c r="D58" s="88"/>
      <c r="E58" s="88"/>
    </row>
    <row r="59" spans="2:5">
      <c r="B59" s="88"/>
    </row>
  </sheetData>
  <sheetProtection algorithmName="SHA-512" hashValue="DIUqmnqLjJr6W+IxFNx8uf/NaPffb8o06BKrGlzg5RdQNkQtE7kv2vcl+JrA9hK6MASqKxXJlL1sMPwlwt0Qfg==" saltValue="YQ96DwUQbvWdIi80l/vsSA==" spinCount="100000" sheet="1" selectLockedCells="1"/>
  <mergeCells count="29">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 ref="B28:D28"/>
    <mergeCell ref="C25:D25"/>
    <mergeCell ref="C16:D16"/>
    <mergeCell ref="C8:E8"/>
    <mergeCell ref="C10:E10"/>
    <mergeCell ref="C12:E12"/>
    <mergeCell ref="C9:E9"/>
    <mergeCell ref="C11:E11"/>
    <mergeCell ref="C2:E2"/>
    <mergeCell ref="C3:E3"/>
    <mergeCell ref="C4:E4"/>
    <mergeCell ref="D5:E5"/>
    <mergeCell ref="C6:E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456"/>
  <sheetViews>
    <sheetView showGridLines="0" showRowColHeaders="0" showRuler="0" view="pageLayout" topLeftCell="A35" zoomScaleNormal="100" workbookViewId="0">
      <selection activeCell="L4" sqref="L4"/>
    </sheetView>
  </sheetViews>
  <sheetFormatPr defaultColWidth="8.81640625" defaultRowHeight="14.5"/>
  <cols>
    <col min="1" max="1" width="2.36328125" customWidth="1"/>
    <col min="2" max="2" width="11.1796875" customWidth="1"/>
    <col min="3" max="3" width="10.1796875" customWidth="1"/>
    <col min="4" max="4" width="11.6328125" bestFit="1" customWidth="1"/>
    <col min="5" max="5" width="2" customWidth="1"/>
    <col min="6" max="6" width="12.1796875" bestFit="1" customWidth="1"/>
    <col min="7" max="7" width="1.453125" customWidth="1"/>
    <col min="8" max="8" width="9.81640625" bestFit="1" customWidth="1"/>
    <col min="9" max="9" width="1.81640625" bestFit="1" customWidth="1"/>
    <col min="10" max="10" width="9.81640625" bestFit="1" customWidth="1"/>
    <col min="11" max="11" width="2.81640625" customWidth="1"/>
    <col min="12" max="12" width="15.81640625" customWidth="1"/>
    <col min="13" max="13" width="4.1796875" customWidth="1"/>
  </cols>
  <sheetData>
    <row r="2" spans="2:12" ht="21">
      <c r="B2" s="199"/>
      <c r="C2" s="615" t="s">
        <v>313</v>
      </c>
      <c r="D2" s="615"/>
      <c r="E2" s="615"/>
      <c r="F2" s="615"/>
      <c r="G2" s="615"/>
      <c r="H2" s="615"/>
      <c r="I2" s="615"/>
      <c r="J2" s="615"/>
      <c r="K2" s="615"/>
      <c r="L2" s="615"/>
    </row>
    <row r="3" spans="2:12" ht="13.75" customHeight="1">
      <c r="L3" s="100"/>
    </row>
    <row r="4" spans="2:12" ht="15.5" customHeight="1">
      <c r="C4" s="305" t="s">
        <v>242</v>
      </c>
      <c r="D4" s="306" t="s">
        <v>8</v>
      </c>
      <c r="E4" s="306"/>
      <c r="F4" s="306" t="s">
        <v>9</v>
      </c>
      <c r="G4" s="335"/>
      <c r="H4" s="335" t="s">
        <v>10</v>
      </c>
      <c r="I4" s="336"/>
      <c r="J4" s="611" t="s">
        <v>11</v>
      </c>
      <c r="K4" s="612"/>
      <c r="L4" s="306" t="s">
        <v>12</v>
      </c>
    </row>
    <row r="5" spans="2:12" ht="15.5">
      <c r="C5" s="307">
        <v>28</v>
      </c>
      <c r="D5" s="613">
        <f>'Aktuelle data'!B7</f>
        <v>358756</v>
      </c>
      <c r="E5" s="613"/>
      <c r="F5" s="613">
        <f>'Aktuelle data'!C7</f>
        <v>363162</v>
      </c>
      <c r="G5" s="613"/>
      <c r="H5" s="614">
        <f>'Aktuelle data'!D7</f>
        <v>366212</v>
      </c>
      <c r="I5" s="614"/>
      <c r="J5" s="613">
        <f>'Aktuelle data'!E7</f>
        <v>370618</v>
      </c>
      <c r="K5" s="613"/>
      <c r="L5" s="267">
        <f>'Aktuelle data'!F7</f>
        <v>373666</v>
      </c>
    </row>
    <row r="6" spans="2:12" ht="15.5">
      <c r="C6" s="307">
        <v>29</v>
      </c>
      <c r="D6" s="613">
        <f>'Aktuelle data'!B8</f>
        <v>364738</v>
      </c>
      <c r="E6" s="613"/>
      <c r="F6" s="613">
        <f>'Aktuelle data'!C8</f>
        <v>368936</v>
      </c>
      <c r="G6" s="613"/>
      <c r="H6" s="613">
        <f>'Aktuelle data'!D8</f>
        <v>371841</v>
      </c>
      <c r="I6" s="613"/>
      <c r="J6" s="613">
        <f>'Aktuelle data'!E8</f>
        <v>376037</v>
      </c>
      <c r="K6" s="613"/>
      <c r="L6" s="267">
        <f>'Aktuelle data'!F8</f>
        <v>378943</v>
      </c>
    </row>
    <row r="7" spans="2:12" ht="15.5">
      <c r="C7" s="307">
        <v>30</v>
      </c>
      <c r="D7" s="613">
        <f>'Aktuelle data'!B9</f>
        <v>370850</v>
      </c>
      <c r="E7" s="613"/>
      <c r="F7" s="613">
        <f>'Aktuelle data'!C9</f>
        <v>374824</v>
      </c>
      <c r="G7" s="613"/>
      <c r="H7" s="613">
        <f>'Aktuelle data'!D9</f>
        <v>377577</v>
      </c>
      <c r="I7" s="613"/>
      <c r="J7" s="613">
        <f>'Aktuelle data'!E9</f>
        <v>381550</v>
      </c>
      <c r="K7" s="613"/>
      <c r="L7" s="267">
        <f>'Aktuelle data'!F9</f>
        <v>384301</v>
      </c>
    </row>
    <row r="8" spans="2:12" ht="15.5">
      <c r="C8" s="307">
        <v>31</v>
      </c>
      <c r="D8" s="613">
        <f>'Aktuelle data'!B10</f>
        <v>377101</v>
      </c>
      <c r="E8" s="613"/>
      <c r="F8" s="613">
        <f>'Aktuelle data'!C10</f>
        <v>380840</v>
      </c>
      <c r="G8" s="613"/>
      <c r="H8" s="613">
        <f>'Aktuelle data'!D10</f>
        <v>383427</v>
      </c>
      <c r="I8" s="613"/>
      <c r="J8" s="613">
        <f>'Aktuelle data'!E10</f>
        <v>387166</v>
      </c>
      <c r="K8" s="613"/>
      <c r="L8" s="267">
        <f>'Aktuelle data'!F10</f>
        <v>389754</v>
      </c>
    </row>
    <row r="9" spans="2:12" ht="15.5">
      <c r="C9" s="307">
        <v>32</v>
      </c>
      <c r="D9" s="613">
        <f>'Aktuelle data'!B11</f>
        <v>383490</v>
      </c>
      <c r="E9" s="613"/>
      <c r="F9" s="613">
        <f>'Aktuelle data'!C11</f>
        <v>386977</v>
      </c>
      <c r="G9" s="613"/>
      <c r="H9" s="613">
        <f>'Aktuelle data'!D11</f>
        <v>389389</v>
      </c>
      <c r="I9" s="613"/>
      <c r="J9" s="613">
        <f>'Aktuelle data'!E11</f>
        <v>392877</v>
      </c>
      <c r="K9" s="613"/>
      <c r="L9" s="267">
        <f>'Aktuelle data'!F11</f>
        <v>395291</v>
      </c>
    </row>
    <row r="10" spans="2:12" ht="15.5">
      <c r="C10" s="307">
        <v>33</v>
      </c>
      <c r="D10" s="613">
        <f>'Aktuelle data'!B12</f>
        <v>390019</v>
      </c>
      <c r="E10" s="613"/>
      <c r="F10" s="613">
        <f>'Aktuelle data'!C12</f>
        <v>393239</v>
      </c>
      <c r="G10" s="613"/>
      <c r="H10" s="613">
        <f>'Aktuelle data'!D12</f>
        <v>395468</v>
      </c>
      <c r="I10" s="613"/>
      <c r="J10" s="613">
        <f>'Aktuelle data'!E12</f>
        <v>398688</v>
      </c>
      <c r="K10" s="613"/>
      <c r="L10" s="267">
        <f>'Aktuelle data'!F12</f>
        <v>400916</v>
      </c>
    </row>
    <row r="11" spans="2:12" ht="15.5">
      <c r="C11" s="307">
        <v>34</v>
      </c>
      <c r="D11" s="613">
        <f>'Aktuelle data'!B13</f>
        <v>396699</v>
      </c>
      <c r="E11" s="613"/>
      <c r="F11" s="613">
        <f>'Aktuelle data'!C13</f>
        <v>399637</v>
      </c>
      <c r="G11" s="613"/>
      <c r="H11" s="613">
        <f>'Aktuelle data'!D13</f>
        <v>401669</v>
      </c>
      <c r="I11" s="613"/>
      <c r="J11" s="613">
        <f>'Aktuelle data'!E13</f>
        <v>404606</v>
      </c>
      <c r="K11" s="613"/>
      <c r="L11" s="267">
        <f>'Aktuelle data'!F13</f>
        <v>406640</v>
      </c>
    </row>
    <row r="12" spans="2:12" ht="15.5">
      <c r="C12" s="307">
        <v>35</v>
      </c>
      <c r="D12" s="613">
        <f>'Aktuelle data'!B14</f>
        <v>403519</v>
      </c>
      <c r="E12" s="613"/>
      <c r="F12" s="613">
        <f>'Aktuelle data'!C14</f>
        <v>406157</v>
      </c>
      <c r="G12" s="613"/>
      <c r="H12" s="613">
        <f>'Aktuelle data'!D14</f>
        <v>407982</v>
      </c>
      <c r="I12" s="613"/>
      <c r="J12" s="613">
        <f>'Aktuelle data'!E14</f>
        <v>410618</v>
      </c>
      <c r="K12" s="613"/>
      <c r="L12" s="267">
        <f>'Aktuelle data'!F14</f>
        <v>412445</v>
      </c>
    </row>
    <row r="13" spans="2:12" ht="15.5">
      <c r="C13" s="307">
        <v>36</v>
      </c>
      <c r="D13" s="613">
        <f>'Aktuelle data'!B15</f>
        <v>410495</v>
      </c>
      <c r="E13" s="613"/>
      <c r="F13" s="613">
        <f>'Aktuelle data'!C15</f>
        <v>412816</v>
      </c>
      <c r="G13" s="613"/>
      <c r="H13" s="613">
        <f>'Aktuelle data'!D15</f>
        <v>414420</v>
      </c>
      <c r="I13" s="613"/>
      <c r="J13" s="613">
        <f>'Aktuelle data'!E15</f>
        <v>416739</v>
      </c>
      <c r="K13" s="613"/>
      <c r="L13" s="267">
        <f>'Aktuelle data'!F15</f>
        <v>418345</v>
      </c>
    </row>
    <row r="14" spans="2:12" ht="15.5">
      <c r="C14" s="307">
        <v>37</v>
      </c>
      <c r="D14" s="613">
        <f>'Aktuelle data'!B16</f>
        <v>417623</v>
      </c>
      <c r="E14" s="613"/>
      <c r="F14" s="613">
        <f>'Aktuelle data'!C16</f>
        <v>419606</v>
      </c>
      <c r="G14" s="613"/>
      <c r="H14" s="613">
        <f>'Aktuelle data'!D16</f>
        <v>420980</v>
      </c>
      <c r="I14" s="613"/>
      <c r="J14" s="613">
        <f>'Aktuelle data'!E16</f>
        <v>422963</v>
      </c>
      <c r="K14" s="613"/>
      <c r="L14" s="267">
        <f>'Aktuelle data'!F16</f>
        <v>424336</v>
      </c>
    </row>
    <row r="15" spans="2:12" ht="15.5">
      <c r="C15" s="307">
        <v>38</v>
      </c>
      <c r="D15" s="613">
        <f>'Aktuelle data'!B17</f>
        <v>425189</v>
      </c>
      <c r="E15" s="613"/>
      <c r="F15" s="613">
        <f>'Aktuelle data'!C17</f>
        <v>426849</v>
      </c>
      <c r="G15" s="613"/>
      <c r="H15" s="613">
        <f>'Aktuelle data'!D17</f>
        <v>427999</v>
      </c>
      <c r="I15" s="613"/>
      <c r="J15" s="613">
        <f>'Aktuelle data'!E17</f>
        <v>429658</v>
      </c>
      <c r="K15" s="613"/>
      <c r="L15" s="267">
        <f>'Aktuelle data'!F17</f>
        <v>430810</v>
      </c>
    </row>
    <row r="16" spans="2:12" ht="15.5">
      <c r="C16" s="307">
        <v>39</v>
      </c>
      <c r="D16" s="613">
        <f>'Aktuelle data'!B18</f>
        <v>432786</v>
      </c>
      <c r="E16" s="613"/>
      <c r="F16" s="613">
        <f>'Aktuelle data'!C18</f>
        <v>434064</v>
      </c>
      <c r="G16" s="613"/>
      <c r="H16" s="613">
        <f>'Aktuelle data'!D18</f>
        <v>434949</v>
      </c>
      <c r="I16" s="613"/>
      <c r="J16" s="613">
        <f>'Aktuelle data'!E18</f>
        <v>436227</v>
      </c>
      <c r="K16" s="613"/>
      <c r="L16" s="267">
        <f>'Aktuelle data'!F18</f>
        <v>437113</v>
      </c>
    </row>
    <row r="17" spans="3:12" ht="15.5">
      <c r="C17" s="307">
        <v>40</v>
      </c>
      <c r="D17" s="613">
        <f>'Aktuelle data'!B19</f>
        <v>440554</v>
      </c>
      <c r="E17" s="613"/>
      <c r="F17" s="613">
        <f>'Aktuelle data'!C19</f>
        <v>441428</v>
      </c>
      <c r="G17" s="613"/>
      <c r="H17" s="613">
        <f>'Aktuelle data'!D19</f>
        <v>442034</v>
      </c>
      <c r="I17" s="613"/>
      <c r="J17" s="613">
        <f>'Aktuelle data'!E19</f>
        <v>442909</v>
      </c>
      <c r="K17" s="613"/>
      <c r="L17" s="267">
        <f>'Aktuelle data'!F19</f>
        <v>443515</v>
      </c>
    </row>
    <row r="18" spans="3:12" ht="15.5">
      <c r="C18" s="307">
        <v>41</v>
      </c>
      <c r="D18" s="613">
        <f>'Aktuelle data'!B20</f>
        <v>448491</v>
      </c>
      <c r="E18" s="613"/>
      <c r="F18" s="613">
        <f>'Aktuelle data'!C20</f>
        <v>448939</v>
      </c>
      <c r="G18" s="613"/>
      <c r="H18" s="613">
        <f>'Aktuelle data'!D20</f>
        <v>449251</v>
      </c>
      <c r="I18" s="613"/>
      <c r="J18" s="613">
        <f>'Aktuelle data'!E20</f>
        <v>449698</v>
      </c>
      <c r="K18" s="613"/>
      <c r="L18" s="267">
        <f>'Aktuelle data'!F20</f>
        <v>450010</v>
      </c>
    </row>
    <row r="19" spans="3:12" ht="15.5">
      <c r="C19" s="307">
        <v>42</v>
      </c>
      <c r="D19" s="613">
        <f>'Aktuelle data'!B21</f>
        <v>456600</v>
      </c>
      <c r="E19" s="613"/>
      <c r="F19" s="613">
        <f>'Aktuelle data'!C21</f>
        <v>456600</v>
      </c>
      <c r="G19" s="613"/>
      <c r="H19" s="613">
        <f>'Aktuelle data'!D21</f>
        <v>456600</v>
      </c>
      <c r="I19" s="613"/>
      <c r="J19" s="613">
        <f>'Aktuelle data'!E21</f>
        <v>456600</v>
      </c>
      <c r="K19" s="613"/>
      <c r="L19" s="267">
        <f>'Aktuelle data'!F21</f>
        <v>456600</v>
      </c>
    </row>
    <row r="20" spans="3:12" ht="15.5">
      <c r="C20" s="307">
        <v>43</v>
      </c>
      <c r="D20" s="613">
        <f>'Aktuelle data'!B22</f>
        <v>466748</v>
      </c>
      <c r="E20" s="613"/>
      <c r="F20" s="613">
        <f>'Aktuelle data'!C22</f>
        <v>466748</v>
      </c>
      <c r="G20" s="613"/>
      <c r="H20" s="613">
        <f>'Aktuelle data'!D22</f>
        <v>466748</v>
      </c>
      <c r="I20" s="613"/>
      <c r="J20" s="613">
        <f>'Aktuelle data'!E22</f>
        <v>466748</v>
      </c>
      <c r="K20" s="613"/>
      <c r="L20" s="267">
        <f>'Aktuelle data'!F22</f>
        <v>466748</v>
      </c>
    </row>
    <row r="21" spans="3:12" ht="15.5">
      <c r="C21" s="307">
        <v>44</v>
      </c>
      <c r="D21" s="613">
        <f>'Aktuelle data'!B23</f>
        <v>477176</v>
      </c>
      <c r="E21" s="613"/>
      <c r="F21" s="613">
        <f>'Aktuelle data'!C23</f>
        <v>477176</v>
      </c>
      <c r="G21" s="613"/>
      <c r="H21" s="613">
        <f>'Aktuelle data'!D23</f>
        <v>477176</v>
      </c>
      <c r="I21" s="613"/>
      <c r="J21" s="613">
        <f>'Aktuelle data'!E23</f>
        <v>477176</v>
      </c>
      <c r="K21" s="613"/>
      <c r="L21" s="267">
        <f>'Aktuelle data'!F23</f>
        <v>477176</v>
      </c>
    </row>
    <row r="22" spans="3:12" ht="15.5">
      <c r="C22" s="307">
        <v>45</v>
      </c>
      <c r="D22" s="613">
        <f>'Aktuelle data'!B24</f>
        <v>487890</v>
      </c>
      <c r="E22" s="613"/>
      <c r="F22" s="613">
        <f>'Aktuelle data'!C24</f>
        <v>487890</v>
      </c>
      <c r="G22" s="613"/>
      <c r="H22" s="613">
        <f>'Aktuelle data'!D24</f>
        <v>487890</v>
      </c>
      <c r="I22" s="613"/>
      <c r="J22" s="613">
        <f>'Aktuelle data'!E24</f>
        <v>487890</v>
      </c>
      <c r="K22" s="613"/>
      <c r="L22" s="267">
        <f>'Aktuelle data'!F24</f>
        <v>487890</v>
      </c>
    </row>
    <row r="23" spans="3:12" ht="15.5">
      <c r="C23" s="307">
        <v>46</v>
      </c>
      <c r="D23" s="613">
        <f>'Aktuelle data'!B25</f>
        <v>498899</v>
      </c>
      <c r="E23" s="613"/>
      <c r="F23" s="613">
        <f>'Aktuelle data'!C25</f>
        <v>498899</v>
      </c>
      <c r="G23" s="613"/>
      <c r="H23" s="613">
        <f>'Aktuelle data'!D25</f>
        <v>498899</v>
      </c>
      <c r="I23" s="613"/>
      <c r="J23" s="613">
        <f>'Aktuelle data'!E25</f>
        <v>498899</v>
      </c>
      <c r="K23" s="613"/>
      <c r="L23" s="267">
        <f>'Aktuelle data'!F25</f>
        <v>498899</v>
      </c>
    </row>
    <row r="24" spans="3:12" ht="15.5">
      <c r="C24" s="307">
        <v>47</v>
      </c>
      <c r="D24" s="613">
        <f>'Aktuelle data'!B26</f>
        <v>507779</v>
      </c>
      <c r="E24" s="613"/>
      <c r="F24" s="613">
        <f>'Aktuelle data'!C26</f>
        <v>507779</v>
      </c>
      <c r="G24" s="613"/>
      <c r="H24" s="613">
        <f>'Aktuelle data'!D26</f>
        <v>507779</v>
      </c>
      <c r="I24" s="613"/>
      <c r="J24" s="613">
        <f>'Aktuelle data'!E26</f>
        <v>507779</v>
      </c>
      <c r="K24" s="613"/>
      <c r="L24" s="267">
        <f>'Aktuelle data'!F26</f>
        <v>507779</v>
      </c>
    </row>
    <row r="25" spans="3:12" ht="15.5">
      <c r="C25" s="307">
        <v>48</v>
      </c>
      <c r="D25" s="613">
        <f>'Aktuelle data'!B27</f>
        <v>531121</v>
      </c>
      <c r="E25" s="613"/>
      <c r="F25" s="613">
        <f>'Aktuelle data'!C27</f>
        <v>531121</v>
      </c>
      <c r="G25" s="613"/>
      <c r="H25" s="613">
        <f>'Aktuelle data'!D27</f>
        <v>531121</v>
      </c>
      <c r="I25" s="613"/>
      <c r="J25" s="613">
        <f>'Aktuelle data'!E27</f>
        <v>531121</v>
      </c>
      <c r="K25" s="613"/>
      <c r="L25" s="267">
        <f>'Aktuelle data'!F27</f>
        <v>531121</v>
      </c>
    </row>
    <row r="26" spans="3:12" ht="15.5">
      <c r="C26" s="307">
        <v>49</v>
      </c>
      <c r="D26" s="613">
        <f>'Aktuelle data'!B28</f>
        <v>566764</v>
      </c>
      <c r="E26" s="613"/>
      <c r="F26" s="613">
        <f>'Aktuelle data'!C28</f>
        <v>566764</v>
      </c>
      <c r="G26" s="613"/>
      <c r="H26" s="613">
        <f>'Aktuelle data'!D28</f>
        <v>566764</v>
      </c>
      <c r="I26" s="613"/>
      <c r="J26" s="613">
        <f>'Aktuelle data'!E28</f>
        <v>566764</v>
      </c>
      <c r="K26" s="613"/>
      <c r="L26" s="267">
        <f>'Aktuelle data'!F28</f>
        <v>566764</v>
      </c>
    </row>
    <row r="27" spans="3:12" ht="15.5">
      <c r="C27" s="307">
        <v>50</v>
      </c>
      <c r="D27" s="613">
        <f>'Aktuelle data'!B29</f>
        <v>606329</v>
      </c>
      <c r="E27" s="613"/>
      <c r="F27" s="613">
        <f>'Aktuelle data'!C29</f>
        <v>606329</v>
      </c>
      <c r="G27" s="613"/>
      <c r="H27" s="613">
        <f>'Aktuelle data'!D29</f>
        <v>606329</v>
      </c>
      <c r="I27" s="613"/>
      <c r="J27" s="613">
        <f>'Aktuelle data'!E29</f>
        <v>606329</v>
      </c>
      <c r="K27" s="613"/>
      <c r="L27" s="267">
        <f>'Aktuelle data'!F29</f>
        <v>606329</v>
      </c>
    </row>
    <row r="28" spans="3:12" ht="15.5">
      <c r="C28" s="307">
        <v>51</v>
      </c>
      <c r="D28" s="613">
        <f>'Aktuelle data'!B30</f>
        <v>669735</v>
      </c>
      <c r="E28" s="613"/>
      <c r="F28" s="613">
        <f>'Aktuelle data'!C30</f>
        <v>669735</v>
      </c>
      <c r="G28" s="613"/>
      <c r="H28" s="613">
        <f>'Aktuelle data'!D30</f>
        <v>669735</v>
      </c>
      <c r="I28" s="613"/>
      <c r="J28" s="613">
        <f>'Aktuelle data'!E30</f>
        <v>669735</v>
      </c>
      <c r="K28" s="613"/>
      <c r="L28" s="267">
        <f>'Aktuelle data'!F30</f>
        <v>669735</v>
      </c>
    </row>
    <row r="29" spans="3:12" ht="15.5">
      <c r="C29" s="307">
        <v>52</v>
      </c>
      <c r="D29" s="613">
        <f>'Aktuelle data'!B31</f>
        <v>762074</v>
      </c>
      <c r="E29" s="613"/>
      <c r="F29" s="613">
        <f>'Aktuelle data'!C31</f>
        <v>762074</v>
      </c>
      <c r="G29" s="613"/>
      <c r="H29" s="613">
        <f>'Aktuelle data'!D31</f>
        <v>762074</v>
      </c>
      <c r="I29" s="613"/>
      <c r="J29" s="613">
        <f>'Aktuelle data'!E31</f>
        <v>762074</v>
      </c>
      <c r="K29" s="613"/>
      <c r="L29" s="267">
        <f>'Aktuelle data'!F31</f>
        <v>762074</v>
      </c>
    </row>
    <row r="30" spans="3:12" ht="15.5">
      <c r="C30" s="307">
        <v>53</v>
      </c>
      <c r="D30" s="613">
        <f>'Aktuelle data'!B32</f>
        <v>836729</v>
      </c>
      <c r="E30" s="613"/>
      <c r="F30" s="613">
        <f>'Aktuelle data'!C32</f>
        <v>836729</v>
      </c>
      <c r="G30" s="613"/>
      <c r="H30" s="613">
        <f>'Aktuelle data'!D32</f>
        <v>836729</v>
      </c>
      <c r="I30" s="613"/>
      <c r="J30" s="613">
        <f>'Aktuelle data'!E32</f>
        <v>836729</v>
      </c>
      <c r="K30" s="613"/>
      <c r="L30" s="267">
        <f>'Aktuelle data'!F32</f>
        <v>836729</v>
      </c>
    </row>
    <row r="31" spans="3:12" ht="15.5">
      <c r="C31" s="307">
        <v>54</v>
      </c>
      <c r="D31" s="613">
        <f>'Aktuelle data'!B33</f>
        <v>936255</v>
      </c>
      <c r="E31" s="613"/>
      <c r="F31" s="613">
        <f>'Aktuelle data'!C33</f>
        <v>936255</v>
      </c>
      <c r="G31" s="613"/>
      <c r="H31" s="613">
        <f>'Aktuelle data'!D33</f>
        <v>936255</v>
      </c>
      <c r="I31" s="613"/>
      <c r="J31" s="613">
        <f>'Aktuelle data'!E33</f>
        <v>936255</v>
      </c>
      <c r="K31" s="613"/>
      <c r="L31" s="267">
        <f>'Aktuelle data'!F33</f>
        <v>936255</v>
      </c>
    </row>
    <row r="32" spans="3:12" ht="15.5">
      <c r="C32" s="307">
        <v>55</v>
      </c>
      <c r="D32" s="613">
        <f>'Aktuelle data'!B34</f>
        <v>1055886</v>
      </c>
      <c r="E32" s="613"/>
      <c r="F32" s="613">
        <f>'Aktuelle data'!C34</f>
        <v>1055886</v>
      </c>
      <c r="G32" s="613"/>
      <c r="H32" s="613">
        <f>'Aktuelle data'!D34</f>
        <v>1055886</v>
      </c>
      <c r="I32" s="613"/>
      <c r="J32" s="613">
        <f>'Aktuelle data'!E34</f>
        <v>1055886</v>
      </c>
      <c r="K32" s="613"/>
      <c r="L32" s="267">
        <f>'Aktuelle data'!F34</f>
        <v>1055886</v>
      </c>
    </row>
    <row r="33" spans="2:12" ht="15.5" customHeight="1">
      <c r="C33" s="307" t="s">
        <v>13</v>
      </c>
      <c r="D33" s="613">
        <f>'Aktuelle data'!B35</f>
        <v>1190036</v>
      </c>
      <c r="E33" s="613"/>
      <c r="F33" s="613">
        <f>'Aktuelle data'!C35</f>
        <v>1190036</v>
      </c>
      <c r="G33" s="613"/>
      <c r="H33" s="613">
        <f>'Aktuelle data'!D35</f>
        <v>1190036</v>
      </c>
      <c r="I33" s="613"/>
      <c r="J33" s="613">
        <f>'Aktuelle data'!E35</f>
        <v>1190036</v>
      </c>
      <c r="K33" s="613"/>
      <c r="L33" s="267">
        <f>'Aktuelle data'!F35</f>
        <v>1190036</v>
      </c>
    </row>
    <row r="35" spans="2:12">
      <c r="B35" s="101"/>
    </row>
    <row r="36" spans="2:12">
      <c r="B36" s="518" t="s">
        <v>238</v>
      </c>
      <c r="C36" s="518"/>
      <c r="D36" s="518"/>
      <c r="E36" s="518"/>
      <c r="F36" s="518"/>
      <c r="G36" s="518"/>
      <c r="H36" s="518"/>
      <c r="I36" s="518"/>
      <c r="J36" s="518"/>
      <c r="K36" s="102"/>
      <c r="L36" s="80">
        <f>1500*'Aktuelle data'!C37</f>
        <v>2366.4749999999999</v>
      </c>
    </row>
    <row r="37" spans="2:12">
      <c r="B37" s="518" t="s">
        <v>239</v>
      </c>
      <c r="C37" s="518"/>
      <c r="D37" s="518"/>
      <c r="E37" s="518"/>
      <c r="F37" s="518"/>
      <c r="G37" s="518"/>
      <c r="H37" s="518"/>
      <c r="I37" s="518"/>
      <c r="J37" s="518"/>
      <c r="K37" s="102"/>
      <c r="L37" s="80">
        <f>L36/12</f>
        <v>197.20624999999998</v>
      </c>
    </row>
    <row r="38" spans="2:12">
      <c r="B38" s="520" t="s">
        <v>240</v>
      </c>
      <c r="C38" s="520"/>
      <c r="D38" s="520"/>
      <c r="E38" s="520"/>
      <c r="F38" s="520"/>
      <c r="G38" s="520"/>
      <c r="H38" s="520"/>
      <c r="I38" s="520"/>
      <c r="J38" s="520"/>
    </row>
    <row r="60" spans="3:12" ht="21">
      <c r="C60" s="615" t="s">
        <v>241</v>
      </c>
      <c r="D60" s="615"/>
      <c r="E60" s="615"/>
      <c r="F60" s="615"/>
      <c r="G60" s="615"/>
      <c r="H60" s="615"/>
      <c r="I60" s="615"/>
      <c r="J60" s="615"/>
      <c r="K60" s="615"/>
      <c r="L60" s="615"/>
    </row>
    <row r="61" spans="3:12" ht="15" thickBot="1">
      <c r="C61" s="103"/>
      <c r="D61" s="103"/>
      <c r="E61" s="103"/>
      <c r="F61" s="103"/>
      <c r="G61" s="103"/>
      <c r="H61" s="103"/>
      <c r="I61" s="103"/>
      <c r="J61" s="103"/>
      <c r="K61" s="103"/>
      <c r="L61" s="103"/>
    </row>
    <row r="62" spans="3:12" ht="15.5">
      <c r="C62" s="310" t="s">
        <v>242</v>
      </c>
      <c r="D62" s="311" t="s">
        <v>8</v>
      </c>
      <c r="E62" s="311"/>
      <c r="F62" s="311" t="s">
        <v>9</v>
      </c>
      <c r="G62" s="311"/>
      <c r="H62" s="311" t="s">
        <v>10</v>
      </c>
      <c r="I62" s="311"/>
      <c r="J62" s="532" t="s">
        <v>11</v>
      </c>
      <c r="K62" s="532"/>
      <c r="L62" s="312" t="s">
        <v>12</v>
      </c>
    </row>
    <row r="63" spans="3:12" ht="15.5">
      <c r="C63" s="308">
        <v>28</v>
      </c>
      <c r="D63" s="607">
        <f>'Aktuelle data'!I7</f>
        <v>29896.333333333332</v>
      </c>
      <c r="E63" s="607"/>
      <c r="F63" s="607">
        <f>'Aktuelle data'!J7</f>
        <v>30263.5</v>
      </c>
      <c r="G63" s="607"/>
      <c r="H63" s="607">
        <f>'Aktuelle data'!K7</f>
        <v>30517.666666666668</v>
      </c>
      <c r="I63" s="607"/>
      <c r="J63" s="533">
        <f>'Aktuelle data'!L7</f>
        <v>30884.833333333332</v>
      </c>
      <c r="K63" s="533"/>
      <c r="L63" s="270">
        <f>'Aktuelle data'!M7</f>
        <v>31138.833333333332</v>
      </c>
    </row>
    <row r="64" spans="3:12" ht="15.5">
      <c r="C64" s="308">
        <v>29</v>
      </c>
      <c r="D64" s="607">
        <f>'Aktuelle data'!I8</f>
        <v>30394.833333333332</v>
      </c>
      <c r="E64" s="607"/>
      <c r="F64" s="607">
        <f>'Aktuelle data'!J8</f>
        <v>30744.666666666668</v>
      </c>
      <c r="G64" s="607"/>
      <c r="H64" s="607">
        <f>'Aktuelle data'!K8</f>
        <v>30986.75</v>
      </c>
      <c r="I64" s="607"/>
      <c r="J64" s="533">
        <f>'Aktuelle data'!L8</f>
        <v>31336.416666666668</v>
      </c>
      <c r="K64" s="533"/>
      <c r="L64" s="270">
        <f>'Aktuelle data'!M8</f>
        <v>31578.583333333332</v>
      </c>
    </row>
    <row r="65" spans="3:12" ht="15.5">
      <c r="C65" s="308">
        <v>30</v>
      </c>
      <c r="D65" s="607">
        <f>'Aktuelle data'!I9</f>
        <v>30904.166666666668</v>
      </c>
      <c r="E65" s="607"/>
      <c r="F65" s="607">
        <f>'Aktuelle data'!J9</f>
        <v>31235.333333333332</v>
      </c>
      <c r="G65" s="607"/>
      <c r="H65" s="607">
        <f>'Aktuelle data'!K9</f>
        <v>31464.75</v>
      </c>
      <c r="I65" s="607"/>
      <c r="J65" s="533">
        <f>'Aktuelle data'!L9</f>
        <v>31795.833333333332</v>
      </c>
      <c r="K65" s="533"/>
      <c r="L65" s="270">
        <f>'Aktuelle data'!M9</f>
        <v>32025.083333333332</v>
      </c>
    </row>
    <row r="66" spans="3:12" ht="15.5">
      <c r="C66" s="308">
        <v>31</v>
      </c>
      <c r="D66" s="607">
        <f>'Aktuelle data'!I10</f>
        <v>31425.083333333332</v>
      </c>
      <c r="E66" s="607"/>
      <c r="F66" s="607">
        <f>'Aktuelle data'!J10</f>
        <v>31736.666666666668</v>
      </c>
      <c r="G66" s="607"/>
      <c r="H66" s="607">
        <f>'Aktuelle data'!K10</f>
        <v>31952.25</v>
      </c>
      <c r="I66" s="607"/>
      <c r="J66" s="533">
        <f>'Aktuelle data'!L10</f>
        <v>32263.833333333332</v>
      </c>
      <c r="K66" s="533"/>
      <c r="L66" s="270">
        <f>'Aktuelle data'!M10</f>
        <v>32479.5</v>
      </c>
    </row>
    <row r="67" spans="3:12" ht="15.5">
      <c r="C67" s="308">
        <v>32</v>
      </c>
      <c r="D67" s="607">
        <f>'Aktuelle data'!I11</f>
        <v>31957.5</v>
      </c>
      <c r="E67" s="607"/>
      <c r="F67" s="607">
        <f>'Aktuelle data'!J11</f>
        <v>32248.083333333332</v>
      </c>
      <c r="G67" s="607"/>
      <c r="H67" s="607">
        <f>'Aktuelle data'!K11</f>
        <v>32449.083333333332</v>
      </c>
      <c r="I67" s="607"/>
      <c r="J67" s="533">
        <f>'Aktuelle data'!L11</f>
        <v>32739.75</v>
      </c>
      <c r="K67" s="533"/>
      <c r="L67" s="270">
        <f>'Aktuelle data'!M11</f>
        <v>32940.916666666664</v>
      </c>
    </row>
    <row r="68" spans="3:12" ht="15.5">
      <c r="C68" s="308">
        <v>33</v>
      </c>
      <c r="D68" s="607">
        <f>'Aktuelle data'!I12</f>
        <v>32501.583333333332</v>
      </c>
      <c r="E68" s="607"/>
      <c r="F68" s="607">
        <f>'Aktuelle data'!J12</f>
        <v>32769.916666666664</v>
      </c>
      <c r="G68" s="607"/>
      <c r="H68" s="607">
        <f>'Aktuelle data'!K12</f>
        <v>32955.666666666664</v>
      </c>
      <c r="I68" s="607"/>
      <c r="J68" s="533">
        <f>'Aktuelle data'!L12</f>
        <v>33224</v>
      </c>
      <c r="K68" s="533"/>
      <c r="L68" s="270">
        <f>'Aktuelle data'!M12</f>
        <v>33409.666666666664</v>
      </c>
    </row>
    <row r="69" spans="3:12" ht="15.5">
      <c r="C69" s="308">
        <v>34</v>
      </c>
      <c r="D69" s="607">
        <f>'Aktuelle data'!I13</f>
        <v>33058.25</v>
      </c>
      <c r="E69" s="607"/>
      <c r="F69" s="607">
        <f>'Aktuelle data'!J13</f>
        <v>33303.083333333336</v>
      </c>
      <c r="G69" s="607"/>
      <c r="H69" s="607">
        <f>'Aktuelle data'!K13</f>
        <v>33472.416666666664</v>
      </c>
      <c r="I69" s="607"/>
      <c r="J69" s="533">
        <f>'Aktuelle data'!L13</f>
        <v>33717.166666666664</v>
      </c>
      <c r="K69" s="533"/>
      <c r="L69" s="270">
        <f>'Aktuelle data'!M13</f>
        <v>33886.666666666664</v>
      </c>
    </row>
    <row r="70" spans="3:12" ht="15.5">
      <c r="C70" s="308">
        <v>35</v>
      </c>
      <c r="D70" s="607">
        <f>'Aktuelle data'!I14</f>
        <v>33626.583333333336</v>
      </c>
      <c r="E70" s="607"/>
      <c r="F70" s="607">
        <f>'Aktuelle data'!J14</f>
        <v>33846.416666666664</v>
      </c>
      <c r="G70" s="607"/>
      <c r="H70" s="607">
        <f>'Aktuelle data'!K14</f>
        <v>33998.5</v>
      </c>
      <c r="I70" s="607"/>
      <c r="J70" s="533">
        <f>'Aktuelle data'!L14</f>
        <v>34218.166666666664</v>
      </c>
      <c r="K70" s="533"/>
      <c r="L70" s="270">
        <f>'Aktuelle data'!M14</f>
        <v>34370.416666666664</v>
      </c>
    </row>
    <row r="71" spans="3:12" ht="15.5">
      <c r="C71" s="308">
        <v>36</v>
      </c>
      <c r="D71" s="607">
        <f>'Aktuelle data'!I15</f>
        <v>34207.916666666664</v>
      </c>
      <c r="E71" s="607"/>
      <c r="F71" s="607">
        <f>'Aktuelle data'!J15</f>
        <v>34401.333333333336</v>
      </c>
      <c r="G71" s="607"/>
      <c r="H71" s="607">
        <f>'Aktuelle data'!K15</f>
        <v>34535</v>
      </c>
      <c r="I71" s="607"/>
      <c r="J71" s="533">
        <f>'Aktuelle data'!L15</f>
        <v>34728.25</v>
      </c>
      <c r="K71" s="533"/>
      <c r="L71" s="270">
        <f>'Aktuelle data'!M15</f>
        <v>34862.083333333336</v>
      </c>
    </row>
    <row r="72" spans="3:12" ht="15.5">
      <c r="C72" s="308">
        <v>37</v>
      </c>
      <c r="D72" s="607">
        <f>'Aktuelle data'!I16</f>
        <v>34801.916666666664</v>
      </c>
      <c r="E72" s="607"/>
      <c r="F72" s="607">
        <f>'Aktuelle data'!J16</f>
        <v>34967.166666666664</v>
      </c>
      <c r="G72" s="607"/>
      <c r="H72" s="607">
        <f>'Aktuelle data'!K16</f>
        <v>35081.666666666664</v>
      </c>
      <c r="I72" s="607"/>
      <c r="J72" s="533">
        <f>'Aktuelle data'!L16</f>
        <v>35246.916666666664</v>
      </c>
      <c r="K72" s="533"/>
      <c r="L72" s="270">
        <f>'Aktuelle data'!M16</f>
        <v>35361.333333333336</v>
      </c>
    </row>
    <row r="73" spans="3:12" ht="15.5">
      <c r="C73" s="308">
        <v>38</v>
      </c>
      <c r="D73" s="607">
        <f>'Aktuelle data'!I17</f>
        <v>35432.416666666664</v>
      </c>
      <c r="E73" s="607"/>
      <c r="F73" s="607">
        <f>'Aktuelle data'!J17</f>
        <v>35570.75</v>
      </c>
      <c r="G73" s="607"/>
      <c r="H73" s="607">
        <f>'Aktuelle data'!K17</f>
        <v>35666.583333333336</v>
      </c>
      <c r="I73" s="607"/>
      <c r="J73" s="533">
        <f>'Aktuelle data'!L17</f>
        <v>35804.833333333336</v>
      </c>
      <c r="K73" s="533"/>
      <c r="L73" s="270">
        <f>'Aktuelle data'!M17</f>
        <v>35900.833333333336</v>
      </c>
    </row>
    <row r="74" spans="3:12" ht="15.5">
      <c r="C74" s="308">
        <v>39</v>
      </c>
      <c r="D74" s="607">
        <f>'Aktuelle data'!I18</f>
        <v>36065.5</v>
      </c>
      <c r="E74" s="607"/>
      <c r="F74" s="607">
        <f>'Aktuelle data'!J18</f>
        <v>36172</v>
      </c>
      <c r="G74" s="607"/>
      <c r="H74" s="607">
        <f>'Aktuelle data'!K18</f>
        <v>36245.75</v>
      </c>
      <c r="I74" s="607"/>
      <c r="J74" s="533">
        <f>'Aktuelle data'!L18</f>
        <v>36352.25</v>
      </c>
      <c r="K74" s="533"/>
      <c r="L74" s="270">
        <f>'Aktuelle data'!M18</f>
        <v>36426.083333333336</v>
      </c>
    </row>
    <row r="75" spans="3:12" ht="15.5">
      <c r="C75" s="308">
        <v>40</v>
      </c>
      <c r="D75" s="607">
        <f>'Aktuelle data'!I19</f>
        <v>36712.833333333336</v>
      </c>
      <c r="E75" s="607"/>
      <c r="F75" s="607">
        <f>'Aktuelle data'!J19</f>
        <v>36785.666666666664</v>
      </c>
      <c r="G75" s="607"/>
      <c r="H75" s="607">
        <f>'Aktuelle data'!K19</f>
        <v>36836.166666666664</v>
      </c>
      <c r="I75" s="607"/>
      <c r="J75" s="533">
        <f>'Aktuelle data'!L19</f>
        <v>36909.083333333336</v>
      </c>
      <c r="K75" s="533"/>
      <c r="L75" s="270">
        <f>'Aktuelle data'!M19</f>
        <v>36959.583333333336</v>
      </c>
    </row>
    <row r="76" spans="3:12" ht="15.5">
      <c r="C76" s="308">
        <v>41</v>
      </c>
      <c r="D76" s="607">
        <f>'Aktuelle data'!I20</f>
        <v>37374.25</v>
      </c>
      <c r="E76" s="607"/>
      <c r="F76" s="607">
        <f>'Aktuelle data'!J20</f>
        <v>37411.583333333336</v>
      </c>
      <c r="G76" s="607"/>
      <c r="H76" s="607">
        <f>'Aktuelle data'!K20</f>
        <v>37437.583333333336</v>
      </c>
      <c r="I76" s="607"/>
      <c r="J76" s="533">
        <f>'Aktuelle data'!L20</f>
        <v>37474.833333333336</v>
      </c>
      <c r="K76" s="533"/>
      <c r="L76" s="270">
        <f>'Aktuelle data'!M20</f>
        <v>37500.833333333336</v>
      </c>
    </row>
    <row r="77" spans="3:12" ht="15.5">
      <c r="C77" s="308">
        <v>42</v>
      </c>
      <c r="D77" s="607">
        <f>'Aktuelle data'!I21</f>
        <v>38050</v>
      </c>
      <c r="E77" s="607"/>
      <c r="F77" s="607">
        <f>'Aktuelle data'!J21</f>
        <v>38050</v>
      </c>
      <c r="G77" s="607"/>
      <c r="H77" s="607">
        <f>'Aktuelle data'!K21</f>
        <v>38050</v>
      </c>
      <c r="I77" s="607"/>
      <c r="J77" s="533">
        <f>'Aktuelle data'!L21</f>
        <v>38050</v>
      </c>
      <c r="K77" s="533"/>
      <c r="L77" s="270">
        <f>'Aktuelle data'!M21</f>
        <v>38050</v>
      </c>
    </row>
    <row r="78" spans="3:12" ht="15.5">
      <c r="C78" s="308">
        <v>43</v>
      </c>
      <c r="D78" s="607">
        <f>'Aktuelle data'!I22</f>
        <v>38895.666666666664</v>
      </c>
      <c r="E78" s="607"/>
      <c r="F78" s="607">
        <f>'Aktuelle data'!J22</f>
        <v>38895.666666666664</v>
      </c>
      <c r="G78" s="607"/>
      <c r="H78" s="607">
        <f>'Aktuelle data'!K22</f>
        <v>38895.666666666664</v>
      </c>
      <c r="I78" s="607"/>
      <c r="J78" s="533">
        <f>'Aktuelle data'!L22</f>
        <v>38895.666666666664</v>
      </c>
      <c r="K78" s="533"/>
      <c r="L78" s="270">
        <f>'Aktuelle data'!M22</f>
        <v>38895.666666666664</v>
      </c>
    </row>
    <row r="79" spans="3:12" ht="15.5">
      <c r="C79" s="308">
        <v>44</v>
      </c>
      <c r="D79" s="607">
        <f>'Aktuelle data'!I23</f>
        <v>39764.666666666664</v>
      </c>
      <c r="E79" s="607"/>
      <c r="F79" s="607">
        <f>'Aktuelle data'!J23</f>
        <v>39764.666666666664</v>
      </c>
      <c r="G79" s="607"/>
      <c r="H79" s="607">
        <f>'Aktuelle data'!K23</f>
        <v>39764.666666666664</v>
      </c>
      <c r="I79" s="607"/>
      <c r="J79" s="533">
        <f>'Aktuelle data'!L23</f>
        <v>39764.666666666664</v>
      </c>
      <c r="K79" s="533"/>
      <c r="L79" s="270">
        <f>'Aktuelle data'!M23</f>
        <v>39764.666666666664</v>
      </c>
    </row>
    <row r="80" spans="3:12" ht="15.5">
      <c r="C80" s="308">
        <v>45</v>
      </c>
      <c r="D80" s="607">
        <f>'Aktuelle data'!I24</f>
        <v>40657.5</v>
      </c>
      <c r="E80" s="607"/>
      <c r="F80" s="607">
        <f>'Aktuelle data'!J24</f>
        <v>40657.5</v>
      </c>
      <c r="G80" s="607"/>
      <c r="H80" s="607">
        <f>'Aktuelle data'!K24</f>
        <v>40657.5</v>
      </c>
      <c r="I80" s="607"/>
      <c r="J80" s="533">
        <f>'Aktuelle data'!L24</f>
        <v>40657.5</v>
      </c>
      <c r="K80" s="533"/>
      <c r="L80" s="270">
        <f>'Aktuelle data'!M24</f>
        <v>40657.5</v>
      </c>
    </row>
    <row r="81" spans="2:12" ht="15.5">
      <c r="C81" s="308">
        <v>46</v>
      </c>
      <c r="D81" s="607">
        <f>'Aktuelle data'!I25</f>
        <v>41574.916666666664</v>
      </c>
      <c r="E81" s="607"/>
      <c r="F81" s="607">
        <f>'Aktuelle data'!J25</f>
        <v>41574.916666666664</v>
      </c>
      <c r="G81" s="607"/>
      <c r="H81" s="607">
        <f>'Aktuelle data'!K25</f>
        <v>41574.916666666664</v>
      </c>
      <c r="I81" s="607"/>
      <c r="J81" s="533">
        <f>'Aktuelle data'!L25</f>
        <v>41574.916666666664</v>
      </c>
      <c r="K81" s="533"/>
      <c r="L81" s="270">
        <f>'Aktuelle data'!M25</f>
        <v>41574.916666666664</v>
      </c>
    </row>
    <row r="82" spans="2:12" ht="15.5">
      <c r="C82" s="308">
        <v>47</v>
      </c>
      <c r="D82" s="607">
        <f>'Aktuelle data'!I26</f>
        <v>42314.916666666664</v>
      </c>
      <c r="E82" s="607"/>
      <c r="F82" s="607">
        <f>'Aktuelle data'!J26</f>
        <v>42314.916666666664</v>
      </c>
      <c r="G82" s="607"/>
      <c r="H82" s="607">
        <f>'Aktuelle data'!K26</f>
        <v>42314.916666666664</v>
      </c>
      <c r="I82" s="607"/>
      <c r="J82" s="533">
        <f>'Aktuelle data'!L26</f>
        <v>42314.916666666664</v>
      </c>
      <c r="K82" s="533"/>
      <c r="L82" s="270">
        <f>'Aktuelle data'!M26</f>
        <v>42314.916666666664</v>
      </c>
    </row>
    <row r="83" spans="2:12" ht="15.5">
      <c r="C83" s="308">
        <v>48</v>
      </c>
      <c r="D83" s="607">
        <f>'Aktuelle data'!I27</f>
        <v>44260.083333333336</v>
      </c>
      <c r="E83" s="607"/>
      <c r="F83" s="607">
        <f>'Aktuelle data'!J27</f>
        <v>44260.083333333336</v>
      </c>
      <c r="G83" s="607"/>
      <c r="H83" s="607">
        <f>'Aktuelle data'!K27</f>
        <v>44260.083333333336</v>
      </c>
      <c r="I83" s="607"/>
      <c r="J83" s="533">
        <f>'Aktuelle data'!L27</f>
        <v>44260.083333333336</v>
      </c>
      <c r="K83" s="533"/>
      <c r="L83" s="270">
        <f>'Aktuelle data'!M27</f>
        <v>44260.083333333336</v>
      </c>
    </row>
    <row r="84" spans="2:12" ht="15.5">
      <c r="C84" s="308">
        <v>49</v>
      </c>
      <c r="D84" s="607">
        <f>'Aktuelle data'!I28</f>
        <v>47230.333333333336</v>
      </c>
      <c r="E84" s="607"/>
      <c r="F84" s="607">
        <f>'Aktuelle data'!J28</f>
        <v>47230.333333333336</v>
      </c>
      <c r="G84" s="607"/>
      <c r="H84" s="607">
        <f>'Aktuelle data'!K28</f>
        <v>47230.333333333336</v>
      </c>
      <c r="I84" s="607"/>
      <c r="J84" s="533">
        <f>'Aktuelle data'!L28</f>
        <v>47230.333333333336</v>
      </c>
      <c r="K84" s="533"/>
      <c r="L84" s="270">
        <f>'Aktuelle data'!M28</f>
        <v>47230.333333333336</v>
      </c>
    </row>
    <row r="85" spans="2:12" ht="15.5">
      <c r="C85" s="308">
        <v>50</v>
      </c>
      <c r="D85" s="607">
        <f>'Aktuelle data'!I29</f>
        <v>50527.416666666664</v>
      </c>
      <c r="E85" s="607"/>
      <c r="F85" s="607">
        <f>'Aktuelle data'!J29</f>
        <v>50527.416666666664</v>
      </c>
      <c r="G85" s="607"/>
      <c r="H85" s="607">
        <f>'Aktuelle data'!K29</f>
        <v>50527.416666666664</v>
      </c>
      <c r="I85" s="607"/>
      <c r="J85" s="533">
        <f>'Aktuelle data'!L29</f>
        <v>50527.416666666664</v>
      </c>
      <c r="K85" s="533"/>
      <c r="L85" s="270">
        <f>'Aktuelle data'!M29</f>
        <v>50527.416666666664</v>
      </c>
    </row>
    <row r="86" spans="2:12" ht="15.5">
      <c r="C86" s="308">
        <v>51</v>
      </c>
      <c r="D86" s="607">
        <f>'Aktuelle data'!I30</f>
        <v>55811.25</v>
      </c>
      <c r="E86" s="607"/>
      <c r="F86" s="607">
        <f>'Aktuelle data'!J30</f>
        <v>55811.25</v>
      </c>
      <c r="G86" s="607"/>
      <c r="H86" s="607">
        <f>'Aktuelle data'!K30</f>
        <v>55811.25</v>
      </c>
      <c r="I86" s="607"/>
      <c r="J86" s="533">
        <f>'Aktuelle data'!L30</f>
        <v>55811.25</v>
      </c>
      <c r="K86" s="533"/>
      <c r="L86" s="270">
        <f>'Aktuelle data'!M30</f>
        <v>55811.25</v>
      </c>
    </row>
    <row r="87" spans="2:12" ht="15.5">
      <c r="C87" s="308">
        <v>52</v>
      </c>
      <c r="D87" s="607">
        <f>'Aktuelle data'!I31</f>
        <v>63506.166666666664</v>
      </c>
      <c r="E87" s="607"/>
      <c r="F87" s="607">
        <f>'Aktuelle data'!J31</f>
        <v>63506.166666666664</v>
      </c>
      <c r="G87" s="607"/>
      <c r="H87" s="607">
        <f>'Aktuelle data'!K31</f>
        <v>63506.166666666664</v>
      </c>
      <c r="I87" s="607"/>
      <c r="J87" s="533">
        <f>'Aktuelle data'!L31</f>
        <v>63506.166666666664</v>
      </c>
      <c r="K87" s="533"/>
      <c r="L87" s="270">
        <f>'Aktuelle data'!M31</f>
        <v>63506.166666666664</v>
      </c>
    </row>
    <row r="88" spans="2:12" ht="15.5">
      <c r="C88" s="308">
        <v>53</v>
      </c>
      <c r="D88" s="607">
        <f>'Aktuelle data'!I32</f>
        <v>69727.416666666672</v>
      </c>
      <c r="E88" s="607"/>
      <c r="F88" s="607">
        <f>'Aktuelle data'!J32</f>
        <v>69727.416666666672</v>
      </c>
      <c r="G88" s="607"/>
      <c r="H88" s="607">
        <f>'Aktuelle data'!K32</f>
        <v>69727.416666666672</v>
      </c>
      <c r="I88" s="607"/>
      <c r="J88" s="533">
        <f>'Aktuelle data'!L32</f>
        <v>69727.416666666672</v>
      </c>
      <c r="K88" s="533"/>
      <c r="L88" s="270">
        <f>'Aktuelle data'!M32</f>
        <v>69727.416666666672</v>
      </c>
    </row>
    <row r="89" spans="2:12" ht="15.5">
      <c r="C89" s="308">
        <v>54</v>
      </c>
      <c r="D89" s="607">
        <f>'Aktuelle data'!I33</f>
        <v>78021.25</v>
      </c>
      <c r="E89" s="607"/>
      <c r="F89" s="607">
        <f>'Aktuelle data'!J33</f>
        <v>78021.25</v>
      </c>
      <c r="G89" s="607"/>
      <c r="H89" s="607">
        <f>'Aktuelle data'!K33</f>
        <v>78021.25</v>
      </c>
      <c r="I89" s="607"/>
      <c r="J89" s="533">
        <f>'Aktuelle data'!L33</f>
        <v>78021.25</v>
      </c>
      <c r="K89" s="533"/>
      <c r="L89" s="270">
        <f>'Aktuelle data'!M33</f>
        <v>78021.25</v>
      </c>
    </row>
    <row r="90" spans="2:12" ht="15.5">
      <c r="C90" s="308">
        <v>55</v>
      </c>
      <c r="D90" s="607">
        <f>'Aktuelle data'!I34</f>
        <v>87990.5</v>
      </c>
      <c r="E90" s="607"/>
      <c r="F90" s="607">
        <f>'Aktuelle data'!J34</f>
        <v>87990.5</v>
      </c>
      <c r="G90" s="607"/>
      <c r="H90" s="607">
        <f>'Aktuelle data'!K34</f>
        <v>87990.5</v>
      </c>
      <c r="I90" s="607"/>
      <c r="J90" s="533">
        <f>'Aktuelle data'!L34</f>
        <v>87990.5</v>
      </c>
      <c r="K90" s="533"/>
      <c r="L90" s="270">
        <f>'Aktuelle data'!M34</f>
        <v>87990.5</v>
      </c>
    </row>
    <row r="91" spans="2:12" ht="16" thickBot="1">
      <c r="C91" s="309" t="s">
        <v>13</v>
      </c>
      <c r="D91" s="608">
        <f>'Aktuelle data'!I35</f>
        <v>99169.666666666672</v>
      </c>
      <c r="E91" s="608"/>
      <c r="F91" s="608">
        <f>'Aktuelle data'!J35</f>
        <v>99169.666666666672</v>
      </c>
      <c r="G91" s="608"/>
      <c r="H91" s="608">
        <f>'Aktuelle data'!K35</f>
        <v>99169.666666666672</v>
      </c>
      <c r="I91" s="608"/>
      <c r="J91" s="606">
        <f>'Aktuelle data'!L35</f>
        <v>99169.666666666672</v>
      </c>
      <c r="K91" s="606"/>
      <c r="L91" s="271">
        <f>'Aktuelle data'!M35</f>
        <v>99169.666666666672</v>
      </c>
    </row>
    <row r="94" spans="2:12">
      <c r="B94" s="518" t="s">
        <v>238</v>
      </c>
      <c r="C94" s="518"/>
      <c r="D94" s="518"/>
      <c r="E94" s="518"/>
      <c r="F94" s="518"/>
      <c r="G94" s="518"/>
      <c r="H94" s="518"/>
      <c r="I94" s="518"/>
      <c r="J94" s="518"/>
      <c r="K94" s="102"/>
      <c r="L94" s="80">
        <f>1500*'Aktuelle data'!C37</f>
        <v>2366.4749999999999</v>
      </c>
    </row>
    <row r="95" spans="2:12">
      <c r="B95" s="518" t="s">
        <v>239</v>
      </c>
      <c r="C95" s="518"/>
      <c r="D95" s="518"/>
      <c r="E95" s="518"/>
      <c r="F95" s="518"/>
      <c r="G95" s="518"/>
      <c r="H95" s="518"/>
      <c r="I95" s="518"/>
      <c r="J95" s="518"/>
      <c r="K95" s="102"/>
      <c r="L95" s="80">
        <f>L94/12</f>
        <v>197.20624999999998</v>
      </c>
    </row>
    <row r="96" spans="2:12">
      <c r="B96" s="520" t="s">
        <v>240</v>
      </c>
      <c r="C96" s="520"/>
      <c r="D96" s="520"/>
      <c r="E96" s="520"/>
      <c r="F96" s="520"/>
      <c r="G96" s="520"/>
      <c r="H96" s="520"/>
      <c r="I96" s="520"/>
      <c r="J96" s="520"/>
    </row>
    <row r="118" spans="3:12" ht="23.5">
      <c r="C118" s="616" t="s">
        <v>243</v>
      </c>
      <c r="D118" s="616"/>
      <c r="E118" s="616"/>
      <c r="F118" s="616"/>
      <c r="G118" s="616"/>
      <c r="H118" s="616"/>
      <c r="I118" s="616"/>
      <c r="J118" s="616"/>
      <c r="K118" s="616"/>
      <c r="L118" s="616"/>
    </row>
    <row r="119" spans="3:12" ht="23.5">
      <c r="C119" s="616" t="s">
        <v>244</v>
      </c>
      <c r="D119" s="616"/>
      <c r="E119" s="616"/>
      <c r="F119" s="616"/>
      <c r="G119" s="616"/>
      <c r="H119" s="616"/>
      <c r="I119" s="616"/>
      <c r="J119" s="616"/>
      <c r="K119" s="616"/>
      <c r="L119" s="616"/>
    </row>
    <row r="120" spans="3:12" ht="14.5" customHeight="1" thickBot="1">
      <c r="C120" s="105"/>
      <c r="D120" s="105"/>
      <c r="E120" s="105"/>
      <c r="F120" s="105"/>
      <c r="G120" s="105"/>
      <c r="H120" s="105"/>
      <c r="I120" s="105"/>
      <c r="J120" s="105"/>
      <c r="K120" s="105"/>
    </row>
    <row r="121" spans="3:12" ht="15.5">
      <c r="C121" s="310" t="s">
        <v>242</v>
      </c>
      <c r="D121" s="311" t="s">
        <v>8</v>
      </c>
      <c r="E121" s="311"/>
      <c r="F121" s="311" t="s">
        <v>9</v>
      </c>
      <c r="G121" s="311"/>
      <c r="H121" s="311" t="s">
        <v>10</v>
      </c>
      <c r="I121" s="311"/>
      <c r="J121" s="532" t="s">
        <v>11</v>
      </c>
      <c r="K121" s="532"/>
      <c r="L121" s="312" t="s">
        <v>12</v>
      </c>
    </row>
    <row r="122" spans="3:12" ht="15.5">
      <c r="C122" s="308">
        <v>28</v>
      </c>
      <c r="D122" s="609">
        <f>'Aktuelle data'!P7</f>
        <v>358756</v>
      </c>
      <c r="E122" s="609"/>
      <c r="F122" s="609">
        <f>'Aktuelle data'!Q7</f>
        <v>363162</v>
      </c>
      <c r="G122" s="609"/>
      <c r="H122" s="609">
        <f>'Aktuelle data'!R7</f>
        <v>366212</v>
      </c>
      <c r="I122" s="609"/>
      <c r="J122" s="609">
        <f>'Aktuelle data'!S7</f>
        <v>370618</v>
      </c>
      <c r="K122" s="609"/>
      <c r="L122" s="268">
        <f>'Aktuelle data'!T7</f>
        <v>373666</v>
      </c>
    </row>
    <row r="123" spans="3:12" ht="15.5">
      <c r="C123" s="308">
        <v>29</v>
      </c>
      <c r="D123" s="609">
        <f>'Aktuelle data'!P8</f>
        <v>364738</v>
      </c>
      <c r="E123" s="609"/>
      <c r="F123" s="609">
        <f>'Aktuelle data'!Q8</f>
        <v>368936</v>
      </c>
      <c r="G123" s="609"/>
      <c r="H123" s="609">
        <f>'Aktuelle data'!R8</f>
        <v>371841</v>
      </c>
      <c r="I123" s="609"/>
      <c r="J123" s="609">
        <f>'Aktuelle data'!S8</f>
        <v>376037</v>
      </c>
      <c r="K123" s="609"/>
      <c r="L123" s="268">
        <f>'Aktuelle data'!T8</f>
        <v>378943</v>
      </c>
    </row>
    <row r="124" spans="3:12" ht="15.5">
      <c r="C124" s="308">
        <v>30</v>
      </c>
      <c r="D124" s="609">
        <f>'Aktuelle data'!P9</f>
        <v>370850</v>
      </c>
      <c r="E124" s="609"/>
      <c r="F124" s="609">
        <f>'Aktuelle data'!Q9</f>
        <v>374824</v>
      </c>
      <c r="G124" s="609"/>
      <c r="H124" s="609">
        <f>'Aktuelle data'!R9</f>
        <v>377577</v>
      </c>
      <c r="I124" s="609"/>
      <c r="J124" s="609">
        <f>'Aktuelle data'!S9</f>
        <v>381550</v>
      </c>
      <c r="K124" s="609"/>
      <c r="L124" s="268">
        <f>'Aktuelle data'!T9</f>
        <v>384301</v>
      </c>
    </row>
    <row r="125" spans="3:12" ht="15.5">
      <c r="C125" s="308">
        <v>31</v>
      </c>
      <c r="D125" s="609">
        <f>'Aktuelle data'!P10</f>
        <v>377101</v>
      </c>
      <c r="E125" s="609"/>
      <c r="F125" s="609">
        <f>'Aktuelle data'!Q10</f>
        <v>380840</v>
      </c>
      <c r="G125" s="609"/>
      <c r="H125" s="609">
        <f>'Aktuelle data'!R10</f>
        <v>383427</v>
      </c>
      <c r="I125" s="609"/>
      <c r="J125" s="609">
        <f>'Aktuelle data'!S10</f>
        <v>387166</v>
      </c>
      <c r="K125" s="609"/>
      <c r="L125" s="268">
        <f>'Aktuelle data'!T10</f>
        <v>389754</v>
      </c>
    </row>
    <row r="126" spans="3:12" ht="15.5">
      <c r="C126" s="308">
        <v>32</v>
      </c>
      <c r="D126" s="609">
        <f>'Aktuelle data'!P11</f>
        <v>383490</v>
      </c>
      <c r="E126" s="609"/>
      <c r="F126" s="609">
        <f>'Aktuelle data'!Q11</f>
        <v>386977</v>
      </c>
      <c r="G126" s="609"/>
      <c r="H126" s="609">
        <f>'Aktuelle data'!R11</f>
        <v>389389</v>
      </c>
      <c r="I126" s="609"/>
      <c r="J126" s="609">
        <f>'Aktuelle data'!S11</f>
        <v>392877</v>
      </c>
      <c r="K126" s="609"/>
      <c r="L126" s="268">
        <f>'Aktuelle data'!T11</f>
        <v>395291</v>
      </c>
    </row>
    <row r="127" spans="3:12" ht="15.5">
      <c r="C127" s="308">
        <v>33</v>
      </c>
      <c r="D127" s="609">
        <f>'Aktuelle data'!P12</f>
        <v>390019</v>
      </c>
      <c r="E127" s="609"/>
      <c r="F127" s="609">
        <f>'Aktuelle data'!Q12</f>
        <v>393239</v>
      </c>
      <c r="G127" s="609"/>
      <c r="H127" s="609">
        <f>'Aktuelle data'!R12</f>
        <v>395468</v>
      </c>
      <c r="I127" s="609"/>
      <c r="J127" s="609">
        <f>'Aktuelle data'!S12</f>
        <v>398688</v>
      </c>
      <c r="K127" s="609"/>
      <c r="L127" s="268">
        <f>'Aktuelle data'!T12</f>
        <v>400916</v>
      </c>
    </row>
    <row r="128" spans="3:12" ht="15.5">
      <c r="C128" s="308">
        <v>34</v>
      </c>
      <c r="D128" s="609">
        <f>'Aktuelle data'!P13</f>
        <v>396699</v>
      </c>
      <c r="E128" s="609"/>
      <c r="F128" s="609">
        <f>'Aktuelle data'!Q13</f>
        <v>399637</v>
      </c>
      <c r="G128" s="609"/>
      <c r="H128" s="609">
        <f>'Aktuelle data'!R13</f>
        <v>401669</v>
      </c>
      <c r="I128" s="609"/>
      <c r="J128" s="609">
        <f>'Aktuelle data'!S13</f>
        <v>404606</v>
      </c>
      <c r="K128" s="609"/>
      <c r="L128" s="268">
        <f>'Aktuelle data'!T13</f>
        <v>406640</v>
      </c>
    </row>
    <row r="129" spans="3:12" ht="15.5">
      <c r="C129" s="308">
        <v>35</v>
      </c>
      <c r="D129" s="609">
        <f>'Aktuelle data'!P14</f>
        <v>403519</v>
      </c>
      <c r="E129" s="609"/>
      <c r="F129" s="609">
        <f>'Aktuelle data'!Q14</f>
        <v>406157</v>
      </c>
      <c r="G129" s="609"/>
      <c r="H129" s="609">
        <f>'Aktuelle data'!R14</f>
        <v>407982</v>
      </c>
      <c r="I129" s="609"/>
      <c r="J129" s="609">
        <f>'Aktuelle data'!S14</f>
        <v>410618</v>
      </c>
      <c r="K129" s="609"/>
      <c r="L129" s="268">
        <f>'Aktuelle data'!T14</f>
        <v>412445</v>
      </c>
    </row>
    <row r="130" spans="3:12" ht="15.5">
      <c r="C130" s="308">
        <v>36</v>
      </c>
      <c r="D130" s="609">
        <f>'Aktuelle data'!P15</f>
        <v>410495</v>
      </c>
      <c r="E130" s="609"/>
      <c r="F130" s="609">
        <f>'Aktuelle data'!Q15</f>
        <v>412816</v>
      </c>
      <c r="G130" s="609"/>
      <c r="H130" s="609">
        <f>'Aktuelle data'!R15</f>
        <v>414420</v>
      </c>
      <c r="I130" s="609"/>
      <c r="J130" s="609">
        <f>'Aktuelle data'!S15</f>
        <v>416739</v>
      </c>
      <c r="K130" s="609"/>
      <c r="L130" s="268">
        <f>'Aktuelle data'!T15</f>
        <v>418345</v>
      </c>
    </row>
    <row r="131" spans="3:12" ht="15.5">
      <c r="C131" s="308">
        <v>37</v>
      </c>
      <c r="D131" s="609">
        <f>'Aktuelle data'!P16</f>
        <v>417623</v>
      </c>
      <c r="E131" s="609"/>
      <c r="F131" s="609">
        <f>'Aktuelle data'!Q16</f>
        <v>419606</v>
      </c>
      <c r="G131" s="609"/>
      <c r="H131" s="609">
        <f>'Aktuelle data'!R16</f>
        <v>420980</v>
      </c>
      <c r="I131" s="609"/>
      <c r="J131" s="609">
        <f>'Aktuelle data'!S16</f>
        <v>422963</v>
      </c>
      <c r="K131" s="609"/>
      <c r="L131" s="268">
        <f>'Aktuelle data'!T16</f>
        <v>424336</v>
      </c>
    </row>
    <row r="132" spans="3:12" ht="15.5">
      <c r="C132" s="308">
        <v>38</v>
      </c>
      <c r="D132" s="609">
        <f>'Aktuelle data'!P17</f>
        <v>425189</v>
      </c>
      <c r="E132" s="609"/>
      <c r="F132" s="609">
        <f>'Aktuelle data'!Q17</f>
        <v>426849</v>
      </c>
      <c r="G132" s="609"/>
      <c r="H132" s="609">
        <f>'Aktuelle data'!R17</f>
        <v>427999</v>
      </c>
      <c r="I132" s="609"/>
      <c r="J132" s="609">
        <f>'Aktuelle data'!S17</f>
        <v>429658</v>
      </c>
      <c r="K132" s="609"/>
      <c r="L132" s="268">
        <f>'Aktuelle data'!T17</f>
        <v>430810</v>
      </c>
    </row>
    <row r="133" spans="3:12" ht="15.5">
      <c r="C133" s="308">
        <v>39</v>
      </c>
      <c r="D133" s="609">
        <f>'Aktuelle data'!P18</f>
        <v>432786</v>
      </c>
      <c r="E133" s="609"/>
      <c r="F133" s="609">
        <f>'Aktuelle data'!Q18</f>
        <v>434064</v>
      </c>
      <c r="G133" s="609"/>
      <c r="H133" s="609">
        <f>'Aktuelle data'!R18</f>
        <v>434949</v>
      </c>
      <c r="I133" s="609"/>
      <c r="J133" s="609">
        <f>'Aktuelle data'!S18</f>
        <v>436227</v>
      </c>
      <c r="K133" s="609"/>
      <c r="L133" s="268">
        <f>'Aktuelle data'!T18</f>
        <v>437113</v>
      </c>
    </row>
    <row r="134" spans="3:12" ht="15.5">
      <c r="C134" s="308">
        <v>40</v>
      </c>
      <c r="D134" s="609">
        <f>'Aktuelle data'!P19</f>
        <v>440554</v>
      </c>
      <c r="E134" s="609"/>
      <c r="F134" s="609">
        <f>'Aktuelle data'!Q19</f>
        <v>441428</v>
      </c>
      <c r="G134" s="609"/>
      <c r="H134" s="609">
        <f>'Aktuelle data'!R19</f>
        <v>442034</v>
      </c>
      <c r="I134" s="609"/>
      <c r="J134" s="609">
        <f>'Aktuelle data'!S19</f>
        <v>442909</v>
      </c>
      <c r="K134" s="609"/>
      <c r="L134" s="268">
        <f>'Aktuelle data'!T19</f>
        <v>443515</v>
      </c>
    </row>
    <row r="135" spans="3:12" ht="15.5">
      <c r="C135" s="308">
        <v>41</v>
      </c>
      <c r="D135" s="609">
        <f>'Aktuelle data'!P20</f>
        <v>448491</v>
      </c>
      <c r="E135" s="609"/>
      <c r="F135" s="609">
        <f>'Aktuelle data'!Q20</f>
        <v>448939</v>
      </c>
      <c r="G135" s="609"/>
      <c r="H135" s="609">
        <f>'Aktuelle data'!R20</f>
        <v>449251</v>
      </c>
      <c r="I135" s="609"/>
      <c r="J135" s="609">
        <f>'Aktuelle data'!S20</f>
        <v>449698</v>
      </c>
      <c r="K135" s="609"/>
      <c r="L135" s="268">
        <f>'Aktuelle data'!T20</f>
        <v>450010</v>
      </c>
    </row>
    <row r="136" spans="3:12" ht="15.5">
      <c r="C136" s="308">
        <v>42</v>
      </c>
      <c r="D136" s="609">
        <f>'Aktuelle data'!P21</f>
        <v>456600</v>
      </c>
      <c r="E136" s="609"/>
      <c r="F136" s="609">
        <f>'Aktuelle data'!Q21</f>
        <v>456600</v>
      </c>
      <c r="G136" s="609"/>
      <c r="H136" s="609">
        <f>'Aktuelle data'!R21</f>
        <v>456600</v>
      </c>
      <c r="I136" s="609"/>
      <c r="J136" s="609">
        <f>'Aktuelle data'!S21</f>
        <v>456600</v>
      </c>
      <c r="K136" s="609"/>
      <c r="L136" s="268">
        <f>'Aktuelle data'!T21</f>
        <v>456600</v>
      </c>
    </row>
    <row r="137" spans="3:12" ht="15.5">
      <c r="C137" s="308">
        <v>43</v>
      </c>
      <c r="D137" s="609">
        <f>'Aktuelle data'!P22</f>
        <v>466748</v>
      </c>
      <c r="E137" s="609"/>
      <c r="F137" s="609">
        <f>'Aktuelle data'!Q22</f>
        <v>466748</v>
      </c>
      <c r="G137" s="609"/>
      <c r="H137" s="609">
        <f>'Aktuelle data'!R22</f>
        <v>466748</v>
      </c>
      <c r="I137" s="609"/>
      <c r="J137" s="609">
        <f>'Aktuelle data'!S22</f>
        <v>466748</v>
      </c>
      <c r="K137" s="609"/>
      <c r="L137" s="268">
        <f>'Aktuelle data'!T22</f>
        <v>466748</v>
      </c>
    </row>
    <row r="138" spans="3:12" ht="15.5">
      <c r="C138" s="308">
        <v>44</v>
      </c>
      <c r="D138" s="609">
        <f>'Aktuelle data'!P23</f>
        <v>477176</v>
      </c>
      <c r="E138" s="609"/>
      <c r="F138" s="609">
        <f>'Aktuelle data'!Q23</f>
        <v>477176</v>
      </c>
      <c r="G138" s="609"/>
      <c r="H138" s="609">
        <f>'Aktuelle data'!R23</f>
        <v>477176</v>
      </c>
      <c r="I138" s="609"/>
      <c r="J138" s="609">
        <f>'Aktuelle data'!S23</f>
        <v>477176</v>
      </c>
      <c r="K138" s="609"/>
      <c r="L138" s="268">
        <f>'Aktuelle data'!T23</f>
        <v>477176</v>
      </c>
    </row>
    <row r="139" spans="3:12" ht="15.5">
      <c r="C139" s="308">
        <v>45</v>
      </c>
      <c r="D139" s="609">
        <f>'Aktuelle data'!P24</f>
        <v>487890</v>
      </c>
      <c r="E139" s="609"/>
      <c r="F139" s="609">
        <f>'Aktuelle data'!Q24</f>
        <v>487890</v>
      </c>
      <c r="G139" s="609"/>
      <c r="H139" s="609">
        <f>'Aktuelle data'!R24</f>
        <v>487890</v>
      </c>
      <c r="I139" s="609"/>
      <c r="J139" s="609">
        <f>'Aktuelle data'!S24</f>
        <v>487890</v>
      </c>
      <c r="K139" s="609"/>
      <c r="L139" s="268">
        <f>'Aktuelle data'!T24</f>
        <v>487890</v>
      </c>
    </row>
    <row r="140" spans="3:12" ht="15.5">
      <c r="C140" s="308">
        <v>46</v>
      </c>
      <c r="D140" s="609">
        <f>'Aktuelle data'!P25</f>
        <v>498899</v>
      </c>
      <c r="E140" s="609"/>
      <c r="F140" s="609">
        <f>'Aktuelle data'!Q25</f>
        <v>498899</v>
      </c>
      <c r="G140" s="609"/>
      <c r="H140" s="609">
        <f>'Aktuelle data'!R25</f>
        <v>498899</v>
      </c>
      <c r="I140" s="609"/>
      <c r="J140" s="609">
        <f>'Aktuelle data'!S25</f>
        <v>498899</v>
      </c>
      <c r="K140" s="609"/>
      <c r="L140" s="268">
        <f>'Aktuelle data'!T25</f>
        <v>498899</v>
      </c>
    </row>
    <row r="141" spans="3:12" ht="15.5">
      <c r="C141" s="308">
        <v>47</v>
      </c>
      <c r="D141" s="609">
        <f>'Aktuelle data'!P26</f>
        <v>507779</v>
      </c>
      <c r="E141" s="609"/>
      <c r="F141" s="609">
        <f>'Aktuelle data'!Q26</f>
        <v>507779</v>
      </c>
      <c r="G141" s="609"/>
      <c r="H141" s="609">
        <f>'Aktuelle data'!R26</f>
        <v>507779</v>
      </c>
      <c r="I141" s="609"/>
      <c r="J141" s="609">
        <f>'Aktuelle data'!S26</f>
        <v>507779</v>
      </c>
      <c r="K141" s="609"/>
      <c r="L141" s="268">
        <f>'Aktuelle data'!T26</f>
        <v>507779</v>
      </c>
    </row>
    <row r="142" spans="3:12" ht="15.5">
      <c r="C142" s="308">
        <v>48</v>
      </c>
      <c r="D142" s="609">
        <f>'Aktuelle data'!P27</f>
        <v>531121</v>
      </c>
      <c r="E142" s="609"/>
      <c r="F142" s="609">
        <f>'Aktuelle data'!Q27</f>
        <v>531121</v>
      </c>
      <c r="G142" s="609"/>
      <c r="H142" s="609">
        <f>'Aktuelle data'!R27</f>
        <v>531121</v>
      </c>
      <c r="I142" s="609"/>
      <c r="J142" s="609">
        <f>'Aktuelle data'!S27</f>
        <v>531121</v>
      </c>
      <c r="K142" s="609"/>
      <c r="L142" s="268">
        <f>'Aktuelle data'!T27</f>
        <v>531121</v>
      </c>
    </row>
    <row r="143" spans="3:12" ht="15.5">
      <c r="C143" s="308">
        <v>49</v>
      </c>
      <c r="D143" s="609">
        <f>'Aktuelle data'!P28</f>
        <v>566764</v>
      </c>
      <c r="E143" s="609"/>
      <c r="F143" s="609">
        <f>'Aktuelle data'!Q28</f>
        <v>566764</v>
      </c>
      <c r="G143" s="609"/>
      <c r="H143" s="609">
        <f>'Aktuelle data'!R28</f>
        <v>566764</v>
      </c>
      <c r="I143" s="609"/>
      <c r="J143" s="609">
        <f>'Aktuelle data'!S28</f>
        <v>566764</v>
      </c>
      <c r="K143" s="609"/>
      <c r="L143" s="268">
        <f>'Aktuelle data'!T28</f>
        <v>566764</v>
      </c>
    </row>
    <row r="144" spans="3:12" ht="15.5">
      <c r="C144" s="308">
        <v>50</v>
      </c>
      <c r="D144" s="609">
        <f>'Aktuelle data'!P29</f>
        <v>620630</v>
      </c>
      <c r="E144" s="609"/>
      <c r="F144" s="609">
        <f>'Aktuelle data'!Q29</f>
        <v>620630</v>
      </c>
      <c r="G144" s="609"/>
      <c r="H144" s="609">
        <f>'Aktuelle data'!R29</f>
        <v>620630</v>
      </c>
      <c r="I144" s="609"/>
      <c r="J144" s="609">
        <f>'Aktuelle data'!S29</f>
        <v>620630</v>
      </c>
      <c r="K144" s="609"/>
      <c r="L144" s="268">
        <f>'Aktuelle data'!T29</f>
        <v>620630</v>
      </c>
    </row>
    <row r="145" spans="2:12" ht="15.5">
      <c r="C145" s="308">
        <v>51</v>
      </c>
      <c r="D145" s="609">
        <f>'Aktuelle data'!P30</f>
        <v>687762</v>
      </c>
      <c r="E145" s="609"/>
      <c r="F145" s="609">
        <f>'Aktuelle data'!Q30</f>
        <v>687762</v>
      </c>
      <c r="G145" s="609"/>
      <c r="H145" s="609">
        <f>'Aktuelle data'!R30</f>
        <v>687762</v>
      </c>
      <c r="I145" s="609"/>
      <c r="J145" s="609">
        <f>'Aktuelle data'!S30</f>
        <v>687762</v>
      </c>
      <c r="K145" s="609"/>
      <c r="L145" s="268">
        <f>'Aktuelle data'!T30</f>
        <v>687762</v>
      </c>
    </row>
    <row r="146" spans="2:12" ht="15.5">
      <c r="C146" s="308">
        <v>52</v>
      </c>
      <c r="D146" s="609">
        <f>'Aktuelle data'!P31</f>
        <v>783289</v>
      </c>
      <c r="E146" s="609"/>
      <c r="F146" s="609">
        <f>'Aktuelle data'!Q31</f>
        <v>783289</v>
      </c>
      <c r="G146" s="609"/>
      <c r="H146" s="609">
        <f>'Aktuelle data'!R31</f>
        <v>783289</v>
      </c>
      <c r="I146" s="609"/>
      <c r="J146" s="609">
        <f>'Aktuelle data'!S31</f>
        <v>783289</v>
      </c>
      <c r="K146" s="609"/>
      <c r="L146" s="268">
        <f>'Aktuelle data'!T31</f>
        <v>783289</v>
      </c>
    </row>
    <row r="147" spans="2:12" ht="15.5">
      <c r="C147" s="308">
        <v>53</v>
      </c>
      <c r="D147" s="609">
        <f>'Aktuelle data'!P32</f>
        <v>871931</v>
      </c>
      <c r="E147" s="609"/>
      <c r="F147" s="609">
        <f>'Aktuelle data'!Q32</f>
        <v>871931</v>
      </c>
      <c r="G147" s="609"/>
      <c r="H147" s="609">
        <f>'Aktuelle data'!R32</f>
        <v>871931</v>
      </c>
      <c r="I147" s="609"/>
      <c r="J147" s="609">
        <f>'Aktuelle data'!S32</f>
        <v>871931</v>
      </c>
      <c r="K147" s="609"/>
      <c r="L147" s="268">
        <f>'Aktuelle data'!T32</f>
        <v>871931</v>
      </c>
    </row>
    <row r="148" spans="2:12" ht="15.5">
      <c r="C148" s="308">
        <v>54</v>
      </c>
      <c r="D148" s="609">
        <f>'Aktuelle data'!P33</f>
        <v>982409</v>
      </c>
      <c r="E148" s="609"/>
      <c r="F148" s="609">
        <f>'Aktuelle data'!Q33</f>
        <v>982409</v>
      </c>
      <c r="G148" s="609"/>
      <c r="H148" s="609">
        <f>'Aktuelle data'!R33</f>
        <v>982409</v>
      </c>
      <c r="I148" s="609"/>
      <c r="J148" s="609">
        <f>'Aktuelle data'!S33</f>
        <v>982409</v>
      </c>
      <c r="K148" s="609"/>
      <c r="L148" s="268">
        <f>'Aktuelle data'!T33</f>
        <v>982409</v>
      </c>
    </row>
    <row r="149" spans="2:12" ht="15.5">
      <c r="C149" s="308">
        <v>55</v>
      </c>
      <c r="D149" s="609">
        <f>'Aktuelle data'!P34</f>
        <v>1102041</v>
      </c>
      <c r="E149" s="609"/>
      <c r="F149" s="609">
        <f>'Aktuelle data'!Q34</f>
        <v>1102041</v>
      </c>
      <c r="G149" s="609"/>
      <c r="H149" s="609">
        <f>'Aktuelle data'!R34</f>
        <v>1102041</v>
      </c>
      <c r="I149" s="609"/>
      <c r="J149" s="609">
        <f>'Aktuelle data'!S34</f>
        <v>1102041</v>
      </c>
      <c r="K149" s="609"/>
      <c r="L149" s="268">
        <f>'Aktuelle data'!T34</f>
        <v>1102041</v>
      </c>
    </row>
    <row r="150" spans="2:12" ht="16" thickBot="1">
      <c r="C150" s="309" t="s">
        <v>13</v>
      </c>
      <c r="D150" s="610">
        <f>'Aktuelle data'!P35</f>
        <v>1236193</v>
      </c>
      <c r="E150" s="610"/>
      <c r="F150" s="610">
        <f>'Aktuelle data'!Q35</f>
        <v>1236193</v>
      </c>
      <c r="G150" s="610"/>
      <c r="H150" s="610">
        <f>'Aktuelle data'!R35</f>
        <v>1236193</v>
      </c>
      <c r="I150" s="610"/>
      <c r="J150" s="610">
        <f>'Aktuelle data'!S35</f>
        <v>1236193</v>
      </c>
      <c r="K150" s="610"/>
      <c r="L150" s="269">
        <f>'Aktuelle data'!T35</f>
        <v>1236193</v>
      </c>
    </row>
    <row r="153" spans="2:12">
      <c r="B153" s="518" t="s">
        <v>238</v>
      </c>
      <c r="C153" s="518"/>
      <c r="D153" s="518"/>
      <c r="E153" s="518"/>
      <c r="F153" s="518"/>
      <c r="G153" s="518"/>
      <c r="H153" s="518"/>
      <c r="I153" s="518"/>
      <c r="J153" s="518"/>
      <c r="K153" s="102"/>
      <c r="L153" s="80">
        <f>'Aktuelle data'!B44*'Aktuelle data'!C37</f>
        <v>2366.4749999999999</v>
      </c>
    </row>
    <row r="154" spans="2:12">
      <c r="B154" s="518" t="s">
        <v>239</v>
      </c>
      <c r="C154" s="518"/>
      <c r="D154" s="518"/>
      <c r="E154" s="518"/>
      <c r="F154" s="518"/>
      <c r="G154" s="518"/>
      <c r="H154" s="518"/>
      <c r="I154" s="518"/>
      <c r="J154" s="518"/>
      <c r="K154" s="102"/>
      <c r="L154" s="80">
        <f>L153/12</f>
        <v>197.20624999999998</v>
      </c>
    </row>
    <row r="155" spans="2:12">
      <c r="B155" s="520" t="s">
        <v>240</v>
      </c>
      <c r="C155" s="520"/>
      <c r="D155" s="520"/>
      <c r="E155" s="520"/>
      <c r="F155" s="520"/>
      <c r="G155" s="520"/>
      <c r="H155" s="520"/>
      <c r="I155" s="520"/>
      <c r="J155" s="520"/>
    </row>
    <row r="175" spans="2:12" ht="33.5">
      <c r="B175" s="526" t="s">
        <v>245</v>
      </c>
      <c r="C175" s="526"/>
      <c r="D175" s="526"/>
      <c r="E175" s="526"/>
      <c r="F175" s="526"/>
      <c r="G175" s="526"/>
      <c r="H175" s="526"/>
      <c r="I175" s="526"/>
      <c r="J175" s="526"/>
      <c r="K175" s="526"/>
      <c r="L175" s="526"/>
    </row>
    <row r="176" spans="2:12" ht="15.5" customHeight="1" thickBot="1">
      <c r="B176" s="100"/>
      <c r="C176" s="100"/>
      <c r="D176" s="100"/>
      <c r="E176" s="100"/>
      <c r="F176" s="100"/>
      <c r="G176" s="100"/>
      <c r="H176" s="100"/>
      <c r="I176" s="100"/>
      <c r="J176" s="100"/>
      <c r="K176" s="100"/>
      <c r="L176" s="100"/>
    </row>
    <row r="177" spans="2:13" ht="22.75" customHeight="1">
      <c r="B177" s="527" t="s">
        <v>246</v>
      </c>
      <c r="C177" s="528"/>
      <c r="E177" s="521" t="s">
        <v>249</v>
      </c>
      <c r="F177" s="522"/>
      <c r="G177" s="522"/>
      <c r="H177" s="523"/>
      <c r="K177" s="488" t="s">
        <v>248</v>
      </c>
      <c r="L177" s="489"/>
      <c r="M177" s="313"/>
    </row>
    <row r="178" spans="2:13">
      <c r="B178" s="106" t="s">
        <v>71</v>
      </c>
      <c r="C178" s="107">
        <v>4</v>
      </c>
      <c r="E178" s="492" t="s">
        <v>150</v>
      </c>
      <c r="F178" s="493"/>
      <c r="G178" s="494"/>
      <c r="H178" s="107">
        <v>0</v>
      </c>
      <c r="K178" s="481" t="s">
        <v>128</v>
      </c>
      <c r="L178" s="482"/>
      <c r="M178" s="108">
        <v>0</v>
      </c>
    </row>
    <row r="179" spans="2:13">
      <c r="B179" s="106" t="s">
        <v>72</v>
      </c>
      <c r="C179" s="107">
        <v>3</v>
      </c>
      <c r="E179" s="481" t="s">
        <v>151</v>
      </c>
      <c r="F179" s="483"/>
      <c r="G179" s="482"/>
      <c r="H179" s="107">
        <v>0</v>
      </c>
      <c r="K179" s="481" t="s">
        <v>129</v>
      </c>
      <c r="L179" s="482"/>
      <c r="M179" s="108">
        <v>0</v>
      </c>
    </row>
    <row r="180" spans="2:13">
      <c r="B180" s="106" t="s">
        <v>73</v>
      </c>
      <c r="C180" s="107">
        <v>4</v>
      </c>
      <c r="E180" s="481" t="s">
        <v>152</v>
      </c>
      <c r="F180" s="483"/>
      <c r="G180" s="482"/>
      <c r="H180" s="107">
        <v>0</v>
      </c>
      <c r="K180" s="481" t="s">
        <v>130</v>
      </c>
      <c r="L180" s="482"/>
      <c r="M180" s="108">
        <v>0</v>
      </c>
    </row>
    <row r="181" spans="2:13">
      <c r="B181" s="106" t="s">
        <v>74</v>
      </c>
      <c r="C181" s="107">
        <v>0</v>
      </c>
      <c r="E181" s="481" t="s">
        <v>153</v>
      </c>
      <c r="F181" s="483"/>
      <c r="G181" s="482"/>
      <c r="H181" s="167">
        <v>0</v>
      </c>
      <c r="K181" s="481" t="s">
        <v>131</v>
      </c>
      <c r="L181" s="482"/>
      <c r="M181" s="108">
        <v>1</v>
      </c>
    </row>
    <row r="182" spans="2:13">
      <c r="B182" s="106" t="s">
        <v>75</v>
      </c>
      <c r="C182" s="107">
        <v>4</v>
      </c>
      <c r="E182" s="481" t="s">
        <v>154</v>
      </c>
      <c r="F182" s="483"/>
      <c r="G182" s="482"/>
      <c r="H182" s="107">
        <v>0</v>
      </c>
      <c r="K182" s="481" t="s">
        <v>132</v>
      </c>
      <c r="L182" s="482"/>
      <c r="M182" s="108">
        <v>0</v>
      </c>
    </row>
    <row r="183" spans="2:13">
      <c r="B183" s="106" t="s">
        <v>76</v>
      </c>
      <c r="C183" s="107">
        <v>4</v>
      </c>
      <c r="E183" s="481" t="s">
        <v>155</v>
      </c>
      <c r="F183" s="483"/>
      <c r="G183" s="482"/>
      <c r="H183" s="107">
        <v>0</v>
      </c>
      <c r="K183" s="481" t="s">
        <v>133</v>
      </c>
      <c r="L183" s="482"/>
      <c r="M183" s="108">
        <v>0</v>
      </c>
    </row>
    <row r="184" spans="2:13">
      <c r="B184" s="106" t="s">
        <v>77</v>
      </c>
      <c r="C184" s="107">
        <v>4</v>
      </c>
      <c r="E184" s="481" t="s">
        <v>156</v>
      </c>
      <c r="F184" s="483"/>
      <c r="G184" s="482"/>
      <c r="H184" s="107">
        <v>0</v>
      </c>
      <c r="K184" s="481" t="s">
        <v>134</v>
      </c>
      <c r="L184" s="482"/>
      <c r="M184" s="108">
        <v>1</v>
      </c>
    </row>
    <row r="185" spans="2:13">
      <c r="B185" s="106" t="s">
        <v>78</v>
      </c>
      <c r="C185" s="107">
        <v>3</v>
      </c>
      <c r="E185" s="481" t="s">
        <v>157</v>
      </c>
      <c r="F185" s="483"/>
      <c r="G185" s="482"/>
      <c r="H185" s="107">
        <v>0</v>
      </c>
      <c r="K185" s="481" t="s">
        <v>135</v>
      </c>
      <c r="L185" s="482"/>
      <c r="M185" s="108">
        <v>0</v>
      </c>
    </row>
    <row r="186" spans="2:13">
      <c r="B186" s="106" t="s">
        <v>79</v>
      </c>
      <c r="C186" s="107">
        <v>4</v>
      </c>
      <c r="E186" s="481" t="s">
        <v>158</v>
      </c>
      <c r="F186" s="483"/>
      <c r="G186" s="482"/>
      <c r="H186" s="107">
        <v>0</v>
      </c>
      <c r="K186" s="481" t="s">
        <v>136</v>
      </c>
      <c r="L186" s="482"/>
      <c r="M186" s="108">
        <v>1</v>
      </c>
    </row>
    <row r="187" spans="2:13">
      <c r="B187" s="106" t="s">
        <v>80</v>
      </c>
      <c r="C187" s="107">
        <v>3</v>
      </c>
      <c r="E187" s="481" t="s">
        <v>159</v>
      </c>
      <c r="F187" s="483"/>
      <c r="G187" s="482"/>
      <c r="H187" s="107">
        <v>0</v>
      </c>
      <c r="K187" s="481" t="s">
        <v>137</v>
      </c>
      <c r="L187" s="482"/>
      <c r="M187" s="108">
        <v>0</v>
      </c>
    </row>
    <row r="188" spans="2:13">
      <c r="B188" s="106" t="s">
        <v>81</v>
      </c>
      <c r="C188" s="107">
        <v>3</v>
      </c>
      <c r="E188" s="481" t="s">
        <v>160</v>
      </c>
      <c r="F188" s="483"/>
      <c r="G188" s="482"/>
      <c r="H188" s="107">
        <v>0</v>
      </c>
      <c r="K188" s="481" t="s">
        <v>138</v>
      </c>
      <c r="L188" s="482"/>
      <c r="M188" s="108">
        <v>0</v>
      </c>
    </row>
    <row r="189" spans="2:13">
      <c r="B189" s="106" t="s">
        <v>82</v>
      </c>
      <c r="C189" s="107">
        <v>4</v>
      </c>
      <c r="E189" s="481" t="s">
        <v>161</v>
      </c>
      <c r="F189" s="483"/>
      <c r="G189" s="482"/>
      <c r="H189" s="107">
        <v>0</v>
      </c>
      <c r="K189" s="481" t="s">
        <v>139</v>
      </c>
      <c r="L189" s="482"/>
      <c r="M189" s="108">
        <v>0</v>
      </c>
    </row>
    <row r="190" spans="2:13">
      <c r="B190" s="106" t="s">
        <v>83</v>
      </c>
      <c r="C190" s="107">
        <v>4</v>
      </c>
      <c r="E190" s="481" t="s">
        <v>162</v>
      </c>
      <c r="F190" s="483"/>
      <c r="G190" s="482"/>
      <c r="H190" s="107">
        <v>0</v>
      </c>
      <c r="K190" s="481" t="s">
        <v>140</v>
      </c>
      <c r="L190" s="482"/>
      <c r="M190" s="108">
        <v>1</v>
      </c>
    </row>
    <row r="191" spans="2:13">
      <c r="B191" s="106" t="s">
        <v>84</v>
      </c>
      <c r="C191" s="107">
        <v>4</v>
      </c>
      <c r="E191" s="481" t="s">
        <v>163</v>
      </c>
      <c r="F191" s="483"/>
      <c r="G191" s="482"/>
      <c r="H191" s="107">
        <v>1</v>
      </c>
      <c r="K191" s="481" t="s">
        <v>141</v>
      </c>
      <c r="L191" s="482"/>
      <c r="M191" s="108">
        <v>1</v>
      </c>
    </row>
    <row r="192" spans="2:13">
      <c r="B192" s="106" t="s">
        <v>85</v>
      </c>
      <c r="C192" s="107">
        <v>4</v>
      </c>
      <c r="E192" s="481" t="s">
        <v>164</v>
      </c>
      <c r="F192" s="483"/>
      <c r="G192" s="482"/>
      <c r="H192" s="107">
        <v>0</v>
      </c>
      <c r="K192" s="481" t="s">
        <v>142</v>
      </c>
      <c r="L192" s="482"/>
      <c r="M192" s="108">
        <v>0</v>
      </c>
    </row>
    <row r="193" spans="2:14">
      <c r="B193" s="106" t="s">
        <v>86</v>
      </c>
      <c r="C193" s="107">
        <v>4</v>
      </c>
      <c r="E193" s="481" t="s">
        <v>165</v>
      </c>
      <c r="F193" s="483"/>
      <c r="G193" s="482"/>
      <c r="H193" s="107">
        <v>0</v>
      </c>
      <c r="K193" s="481" t="s">
        <v>143</v>
      </c>
      <c r="L193" s="482"/>
      <c r="M193" s="108">
        <v>1</v>
      </c>
    </row>
    <row r="194" spans="2:14">
      <c r="B194" s="106" t="s">
        <v>87</v>
      </c>
      <c r="C194" s="107">
        <v>3</v>
      </c>
      <c r="D194" s="110"/>
      <c r="E194" s="481" t="s">
        <v>166</v>
      </c>
      <c r="F194" s="483"/>
      <c r="G194" s="482"/>
      <c r="H194" s="107">
        <v>0</v>
      </c>
      <c r="K194" s="481" t="s">
        <v>144</v>
      </c>
      <c r="L194" s="482"/>
      <c r="M194" s="108">
        <v>0</v>
      </c>
    </row>
    <row r="195" spans="2:14">
      <c r="B195" s="106" t="s">
        <v>88</v>
      </c>
      <c r="C195" s="107">
        <v>3</v>
      </c>
      <c r="E195" s="481" t="s">
        <v>167</v>
      </c>
      <c r="F195" s="483"/>
      <c r="G195" s="482"/>
      <c r="H195" s="107">
        <v>0</v>
      </c>
      <c r="K195" s="481" t="s">
        <v>145</v>
      </c>
      <c r="L195" s="482"/>
      <c r="M195" s="108">
        <v>0</v>
      </c>
    </row>
    <row r="196" spans="2:14" ht="15" thickBot="1">
      <c r="B196" s="106" t="s">
        <v>89</v>
      </c>
      <c r="C196" s="107">
        <v>4</v>
      </c>
      <c r="E196" s="537" t="s">
        <v>168</v>
      </c>
      <c r="F196" s="538"/>
      <c r="G196" s="539"/>
      <c r="H196" s="109">
        <v>2</v>
      </c>
      <c r="K196" s="481" t="s">
        <v>146</v>
      </c>
      <c r="L196" s="482"/>
      <c r="M196" s="108">
        <v>0</v>
      </c>
    </row>
    <row r="197" spans="2:14" ht="15" thickBot="1">
      <c r="B197" s="106" t="s">
        <v>90</v>
      </c>
      <c r="C197" s="107">
        <v>3</v>
      </c>
      <c r="K197" s="481" t="s">
        <v>147</v>
      </c>
      <c r="L197" s="482"/>
      <c r="M197" s="108">
        <v>0</v>
      </c>
    </row>
    <row r="198" spans="2:14">
      <c r="B198" s="106" t="s">
        <v>91</v>
      </c>
      <c r="C198" s="107">
        <v>4</v>
      </c>
      <c r="E198" s="521" t="s">
        <v>247</v>
      </c>
      <c r="F198" s="522"/>
      <c r="G198" s="522"/>
      <c r="H198" s="523"/>
      <c r="K198" s="481" t="s">
        <v>148</v>
      </c>
      <c r="L198" s="482"/>
      <c r="M198" s="108">
        <v>0</v>
      </c>
    </row>
    <row r="199" spans="2:14" ht="15" thickBot="1">
      <c r="B199" s="106" t="s">
        <v>92</v>
      </c>
      <c r="C199" s="107">
        <v>4</v>
      </c>
      <c r="E199" s="492" t="s">
        <v>101</v>
      </c>
      <c r="F199" s="493"/>
      <c r="G199" s="494"/>
      <c r="H199" s="107">
        <v>0</v>
      </c>
      <c r="K199" s="490" t="s">
        <v>149</v>
      </c>
      <c r="L199" s="491"/>
      <c r="M199" s="111">
        <v>0</v>
      </c>
    </row>
    <row r="200" spans="2:14" ht="15" thickBot="1">
      <c r="B200" s="106" t="s">
        <v>93</v>
      </c>
      <c r="C200" s="107">
        <v>3</v>
      </c>
      <c r="E200" s="481" t="s">
        <v>102</v>
      </c>
      <c r="F200" s="483"/>
      <c r="G200" s="482"/>
      <c r="H200" s="107">
        <v>0</v>
      </c>
      <c r="I200" s="115"/>
    </row>
    <row r="201" spans="2:14" ht="14.5" customHeight="1">
      <c r="B201" s="106" t="s">
        <v>94</v>
      </c>
      <c r="C201" s="107">
        <v>4</v>
      </c>
      <c r="E201" s="481" t="s">
        <v>103</v>
      </c>
      <c r="F201" s="483"/>
      <c r="G201" s="482"/>
      <c r="H201" s="107">
        <v>0</v>
      </c>
      <c r="I201" s="115"/>
      <c r="K201" s="488" t="s">
        <v>250</v>
      </c>
      <c r="L201" s="495"/>
      <c r="M201" s="496"/>
      <c r="N201" s="230"/>
    </row>
    <row r="202" spans="2:14" ht="14.5" customHeight="1">
      <c r="B202" s="106" t="s">
        <v>95</v>
      </c>
      <c r="C202" s="107">
        <v>4</v>
      </c>
      <c r="E202" s="481" t="s">
        <v>104</v>
      </c>
      <c r="F202" s="483"/>
      <c r="G202" s="482"/>
      <c r="H202" s="107">
        <v>1</v>
      </c>
      <c r="I202" s="115"/>
      <c r="K202" s="481" t="s">
        <v>117</v>
      </c>
      <c r="L202" s="482"/>
      <c r="M202" s="107">
        <v>0</v>
      </c>
    </row>
    <row r="203" spans="2:14" ht="24" customHeight="1">
      <c r="B203" s="106" t="s">
        <v>96</v>
      </c>
      <c r="C203" s="107">
        <v>4</v>
      </c>
      <c r="E203" s="481" t="s">
        <v>105</v>
      </c>
      <c r="F203" s="483"/>
      <c r="G203" s="482"/>
      <c r="H203" s="107">
        <v>2</v>
      </c>
      <c r="I203" s="115"/>
      <c r="K203" s="481" t="s">
        <v>118</v>
      </c>
      <c r="L203" s="482"/>
      <c r="M203" s="107">
        <v>1</v>
      </c>
    </row>
    <row r="204" spans="2:14" ht="14.5" customHeight="1">
      <c r="B204" s="106" t="s">
        <v>97</v>
      </c>
      <c r="C204" s="107">
        <v>4</v>
      </c>
      <c r="E204" s="481" t="s">
        <v>106</v>
      </c>
      <c r="F204" s="483"/>
      <c r="G204" s="482"/>
      <c r="H204" s="107">
        <v>2</v>
      </c>
      <c r="I204" s="115"/>
      <c r="K204" s="481" t="s">
        <v>119</v>
      </c>
      <c r="L204" s="482"/>
      <c r="M204" s="107">
        <v>0</v>
      </c>
    </row>
    <row r="205" spans="2:14" ht="14.5" customHeight="1">
      <c r="B205" s="106" t="s">
        <v>98</v>
      </c>
      <c r="C205" s="107">
        <v>4</v>
      </c>
      <c r="E205" s="481" t="s">
        <v>107</v>
      </c>
      <c r="F205" s="483"/>
      <c r="G205" s="482"/>
      <c r="H205" s="107">
        <v>0</v>
      </c>
      <c r="I205" s="115"/>
      <c r="K205" s="481" t="s">
        <v>120</v>
      </c>
      <c r="L205" s="482"/>
      <c r="M205" s="107">
        <v>0</v>
      </c>
    </row>
    <row r="206" spans="2:14" ht="14.5" customHeight="1">
      <c r="B206" s="106" t="s">
        <v>99</v>
      </c>
      <c r="C206" s="107">
        <v>4</v>
      </c>
      <c r="E206" s="481" t="s">
        <v>108</v>
      </c>
      <c r="F206" s="483"/>
      <c r="G206" s="482"/>
      <c r="H206" s="107">
        <v>1</v>
      </c>
      <c r="I206" s="115"/>
      <c r="J206" s="112"/>
      <c r="K206" s="481" t="s">
        <v>121</v>
      </c>
      <c r="L206" s="482"/>
      <c r="M206" s="107">
        <v>0</v>
      </c>
    </row>
    <row r="207" spans="2:14" ht="15" customHeight="1" thickBot="1">
      <c r="B207" s="113" t="s">
        <v>100</v>
      </c>
      <c r="C207" s="109">
        <v>4</v>
      </c>
      <c r="E207" s="481" t="s">
        <v>109</v>
      </c>
      <c r="F207" s="483"/>
      <c r="G207" s="482"/>
      <c r="H207" s="107">
        <v>0</v>
      </c>
      <c r="I207" s="115"/>
      <c r="K207" s="481" t="s">
        <v>122</v>
      </c>
      <c r="L207" s="482"/>
      <c r="M207" s="107">
        <v>0</v>
      </c>
    </row>
    <row r="208" spans="2:14" ht="14.5" customHeight="1">
      <c r="B208" s="114"/>
      <c r="C208" s="115"/>
      <c r="E208" s="481" t="s">
        <v>110</v>
      </c>
      <c r="F208" s="483"/>
      <c r="G208" s="482"/>
      <c r="H208" s="107">
        <v>0</v>
      </c>
      <c r="I208" s="115"/>
      <c r="K208" s="481" t="s">
        <v>123</v>
      </c>
      <c r="L208" s="482"/>
      <c r="M208" s="107">
        <v>0</v>
      </c>
    </row>
    <row r="209" spans="5:13" ht="14.5" customHeight="1">
      <c r="E209" s="481" t="s">
        <v>111</v>
      </c>
      <c r="F209" s="483"/>
      <c r="G209" s="482"/>
      <c r="H209" s="107">
        <v>2</v>
      </c>
      <c r="I209" s="115"/>
      <c r="K209" s="481" t="s">
        <v>124</v>
      </c>
      <c r="L209" s="482"/>
      <c r="M209" s="107">
        <v>0</v>
      </c>
    </row>
    <row r="210" spans="5:13" ht="14.5" customHeight="1">
      <c r="E210" s="481" t="s">
        <v>112</v>
      </c>
      <c r="F210" s="483"/>
      <c r="G210" s="482"/>
      <c r="H210" s="107">
        <v>1</v>
      </c>
      <c r="I210" s="115"/>
      <c r="K210" s="481" t="s">
        <v>125</v>
      </c>
      <c r="L210" s="482"/>
      <c r="M210" s="107">
        <v>0</v>
      </c>
    </row>
    <row r="211" spans="5:13" ht="14.5" customHeight="1">
      <c r="E211" s="492" t="s">
        <v>113</v>
      </c>
      <c r="F211" s="493"/>
      <c r="G211" s="494"/>
      <c r="H211" s="107">
        <v>2</v>
      </c>
      <c r="I211" s="115"/>
      <c r="K211" s="481" t="s">
        <v>126</v>
      </c>
      <c r="L211" s="482"/>
      <c r="M211" s="107">
        <v>0</v>
      </c>
    </row>
    <row r="212" spans="5:13" ht="15" customHeight="1" thickBot="1">
      <c r="E212" s="481" t="s">
        <v>114</v>
      </c>
      <c r="F212" s="483"/>
      <c r="G212" s="482"/>
      <c r="H212" s="107">
        <v>0</v>
      </c>
      <c r="I212" s="115"/>
      <c r="K212" s="537" t="s">
        <v>127</v>
      </c>
      <c r="L212" s="539"/>
      <c r="M212" s="109">
        <v>1</v>
      </c>
    </row>
    <row r="213" spans="5:13">
      <c r="E213" s="481" t="s">
        <v>115</v>
      </c>
      <c r="F213" s="483"/>
      <c r="G213" s="482"/>
      <c r="H213" s="107">
        <v>0</v>
      </c>
      <c r="I213" s="115"/>
    </row>
    <row r="214" spans="5:13" ht="15" thickBot="1">
      <c r="E214" s="537" t="s">
        <v>116</v>
      </c>
      <c r="F214" s="538"/>
      <c r="G214" s="539"/>
      <c r="H214" s="109">
        <v>0</v>
      </c>
      <c r="I214" s="115"/>
    </row>
    <row r="226" spans="2:13" ht="14.5" customHeight="1"/>
    <row r="227" spans="2:13" ht="14.5" customHeight="1"/>
    <row r="228" spans="2:13" ht="14.5" customHeight="1"/>
    <row r="229" spans="2:13" ht="14.5" customHeight="1"/>
    <row r="230" spans="2:13" ht="14.5" customHeight="1"/>
    <row r="231" spans="2:13" ht="14.5" customHeight="1"/>
    <row r="232" spans="2:13" ht="14" customHeight="1">
      <c r="B232" s="166"/>
      <c r="C232" s="115"/>
      <c r="D232" s="156"/>
      <c r="E232" s="156"/>
      <c r="F232" s="156"/>
      <c r="G232" s="156"/>
      <c r="H232" s="156"/>
      <c r="I232" s="156"/>
      <c r="J232" s="156"/>
      <c r="K232" s="156"/>
      <c r="L232" s="156"/>
      <c r="M232" s="156"/>
    </row>
    <row r="233" spans="2:13" ht="34.25" customHeight="1">
      <c r="B233" s="536" t="s">
        <v>340</v>
      </c>
      <c r="C233" s="536"/>
      <c r="D233" s="536"/>
      <c r="E233" s="536"/>
      <c r="F233" s="536"/>
      <c r="G233" s="536"/>
      <c r="H233" s="536"/>
      <c r="I233" s="536"/>
      <c r="J233" s="536"/>
      <c r="K233" s="536"/>
    </row>
    <row r="234" spans="2:13" ht="34.25" customHeight="1">
      <c r="B234" s="534" t="s">
        <v>273</v>
      </c>
      <c r="C234" s="534"/>
      <c r="D234" s="534"/>
      <c r="E234" s="534"/>
      <c r="F234" s="534"/>
      <c r="G234" s="534"/>
      <c r="H234" s="534"/>
      <c r="I234" s="534"/>
      <c r="J234" s="534"/>
      <c r="K234" s="534"/>
      <c r="L234" s="97">
        <f>'Aktuelle data'!C37</f>
        <v>1.57765</v>
      </c>
    </row>
    <row r="235" spans="2:13">
      <c r="B235" s="117"/>
    </row>
    <row r="236" spans="2:13" ht="21">
      <c r="B236" s="568" t="s">
        <v>341</v>
      </c>
      <c r="C236" s="568"/>
      <c r="D236" s="568"/>
      <c r="E236" s="568"/>
      <c r="F236" s="568"/>
      <c r="G236" s="568"/>
      <c r="H236" s="568"/>
      <c r="I236" s="568"/>
      <c r="J236" s="568"/>
      <c r="K236" s="568"/>
      <c r="L236" s="568"/>
      <c r="M236" s="568"/>
    </row>
    <row r="237" spans="2:13" ht="15" thickBot="1"/>
    <row r="238" spans="2:13">
      <c r="C238" s="557" t="s">
        <v>258</v>
      </c>
      <c r="D238" s="558"/>
      <c r="E238" s="558"/>
      <c r="F238" s="558"/>
      <c r="G238" s="558"/>
      <c r="H238" s="558"/>
      <c r="I238" s="314"/>
      <c r="J238" s="315">
        <f>'Aktuelle data'!C37</f>
        <v>1.57765</v>
      </c>
    </row>
    <row r="239" spans="2:13" ht="58.25" customHeight="1">
      <c r="C239" s="316" t="s">
        <v>255</v>
      </c>
      <c r="D239" s="317" t="s">
        <v>251</v>
      </c>
      <c r="E239" s="318"/>
      <c r="F239" s="319" t="s">
        <v>252</v>
      </c>
      <c r="G239" s="524" t="s">
        <v>253</v>
      </c>
      <c r="H239" s="525"/>
      <c r="I239" s="575" t="s">
        <v>254</v>
      </c>
      <c r="J239" s="576"/>
    </row>
    <row r="240" spans="2:13">
      <c r="C240" s="205">
        <v>1000</v>
      </c>
      <c r="D240" s="206">
        <f>'Aktuelle data'!W7</f>
        <v>1577.65</v>
      </c>
      <c r="E240" s="207"/>
      <c r="F240" s="208">
        <f>'Aktuelle data'!X7</f>
        <v>131.47083333333333</v>
      </c>
      <c r="G240" s="209"/>
      <c r="H240" s="208">
        <f>'Aktuelle data'!Y7</f>
        <v>262.04766499999999</v>
      </c>
      <c r="I240" s="144"/>
      <c r="J240" s="210">
        <f>'Aktuelle data'!Z7</f>
        <v>1839.6976650000001</v>
      </c>
    </row>
    <row r="241" spans="2:10">
      <c r="B241" s="99" t="s">
        <v>257</v>
      </c>
      <c r="C241" s="211">
        <v>1500</v>
      </c>
      <c r="D241" s="206">
        <f>'Aktuelle data'!W8</f>
        <v>2366.4749999999999</v>
      </c>
      <c r="E241" s="212"/>
      <c r="F241" s="213">
        <f>'Aktuelle data'!X8</f>
        <v>197.20624999999998</v>
      </c>
      <c r="G241" s="214"/>
      <c r="H241" s="213">
        <f>'Aktuelle data'!Y8</f>
        <v>393.07149749999996</v>
      </c>
      <c r="I241" s="128"/>
      <c r="J241" s="215">
        <f>'Aktuelle data'!Z8</f>
        <v>2759.5464975</v>
      </c>
    </row>
    <row r="242" spans="2:10">
      <c r="C242" s="216">
        <v>2500</v>
      </c>
      <c r="D242" s="206">
        <f>'Aktuelle data'!W9</f>
        <v>3944.125</v>
      </c>
      <c r="E242" s="214"/>
      <c r="F242" s="213">
        <f>'Aktuelle data'!X9</f>
        <v>328.67708333333331</v>
      </c>
      <c r="G242" s="214"/>
      <c r="H242" s="213">
        <f>'Aktuelle data'!Y9</f>
        <v>655.1191624999999</v>
      </c>
      <c r="I242" s="128"/>
      <c r="J242" s="215">
        <f>'Aktuelle data'!Z9</f>
        <v>4599.2441625000001</v>
      </c>
    </row>
    <row r="243" spans="2:10">
      <c r="C243" s="217">
        <v>2800</v>
      </c>
      <c r="D243" s="206">
        <f>'Aktuelle data'!W10</f>
        <v>4417.42</v>
      </c>
      <c r="E243" s="212"/>
      <c r="F243" s="213">
        <f>'Aktuelle data'!X10</f>
        <v>368.11833333333334</v>
      </c>
      <c r="G243" s="214"/>
      <c r="H243" s="213">
        <f>'Aktuelle data'!Y10</f>
        <v>733.73346200000003</v>
      </c>
      <c r="I243" s="128"/>
      <c r="J243" s="215">
        <f>'Aktuelle data'!Z10</f>
        <v>5151.1534620000002</v>
      </c>
    </row>
    <row r="244" spans="2:10">
      <c r="C244" s="217">
        <v>3100</v>
      </c>
      <c r="D244" s="206">
        <f>'Aktuelle data'!W11</f>
        <v>4890.7150000000001</v>
      </c>
      <c r="E244" s="212"/>
      <c r="F244" s="213">
        <f>'Aktuelle data'!X11</f>
        <v>407.55958333333336</v>
      </c>
      <c r="G244" s="214"/>
      <c r="H244" s="213">
        <f>'Aktuelle data'!Y11</f>
        <v>812.34776150000005</v>
      </c>
      <c r="I244" s="128"/>
      <c r="J244" s="215">
        <f>'Aktuelle data'!Z11</f>
        <v>5703.0627615000003</v>
      </c>
    </row>
    <row r="245" spans="2:10">
      <c r="C245" s="217">
        <v>3400</v>
      </c>
      <c r="D245" s="206">
        <f>'Aktuelle data'!W12</f>
        <v>5364.01</v>
      </c>
      <c r="E245" s="212"/>
      <c r="F245" s="213">
        <f>'Aktuelle data'!X12</f>
        <v>447.00083333333333</v>
      </c>
      <c r="G245" s="214"/>
      <c r="H245" s="213">
        <f>'Aktuelle data'!Y12</f>
        <v>890.96206099999995</v>
      </c>
      <c r="I245" s="128"/>
      <c r="J245" s="215">
        <f>'Aktuelle data'!Z12</f>
        <v>6254.9720610000004</v>
      </c>
    </row>
    <row r="246" spans="2:10">
      <c r="C246" s="217">
        <v>3600</v>
      </c>
      <c r="D246" s="206">
        <f>'Aktuelle data'!W13</f>
        <v>5679.54</v>
      </c>
      <c r="E246" s="212"/>
      <c r="F246" s="213">
        <f>'Aktuelle data'!X13</f>
        <v>473.29500000000002</v>
      </c>
      <c r="G246" s="214"/>
      <c r="H246" s="213">
        <f>'Aktuelle data'!Y13</f>
        <v>943.37159399999985</v>
      </c>
      <c r="I246" s="128"/>
      <c r="J246" s="215">
        <f>'Aktuelle data'!Z13</f>
        <v>6622.9115940000002</v>
      </c>
    </row>
    <row r="247" spans="2:10">
      <c r="C247" s="217">
        <v>3800</v>
      </c>
      <c r="D247" s="206">
        <f>'Aktuelle data'!W14</f>
        <v>5995.07</v>
      </c>
      <c r="E247" s="212"/>
      <c r="F247" s="213">
        <f>'Aktuelle data'!X14</f>
        <v>499.58916666666664</v>
      </c>
      <c r="G247" s="214"/>
      <c r="H247" s="213">
        <f>'Aktuelle data'!Y14</f>
        <v>995.78112699999997</v>
      </c>
      <c r="I247" s="128"/>
      <c r="J247" s="215">
        <f>'Aktuelle data'!Z14</f>
        <v>6990.8511269999999</v>
      </c>
    </row>
    <row r="248" spans="2:10">
      <c r="C248" s="217">
        <v>4100</v>
      </c>
      <c r="D248" s="206">
        <f>'Aktuelle data'!W15</f>
        <v>6468.3649999999998</v>
      </c>
      <c r="E248" s="212"/>
      <c r="F248" s="213">
        <f>'Aktuelle data'!X15</f>
        <v>539.03041666666661</v>
      </c>
      <c r="G248" s="214"/>
      <c r="H248" s="213">
        <f>'Aktuelle data'!Y15</f>
        <v>1074.3954265</v>
      </c>
      <c r="I248" s="128"/>
      <c r="J248" s="215">
        <f>'Aktuelle data'!Z15</f>
        <v>7542.7604265</v>
      </c>
    </row>
    <row r="249" spans="2:10">
      <c r="C249" s="217">
        <v>4300</v>
      </c>
      <c r="D249" s="206">
        <f>'Aktuelle data'!W16</f>
        <v>6783.8950000000004</v>
      </c>
      <c r="E249" s="212"/>
      <c r="F249" s="213">
        <f>'Aktuelle data'!X16</f>
        <v>565.32458333333341</v>
      </c>
      <c r="G249" s="214"/>
      <c r="H249" s="213">
        <f>'Aktuelle data'!Y16</f>
        <v>1126.8049595</v>
      </c>
      <c r="I249" s="128"/>
      <c r="J249" s="215">
        <f>'Aktuelle data'!Z16</f>
        <v>7910.6999595000007</v>
      </c>
    </row>
    <row r="250" spans="2:10">
      <c r="C250" s="217">
        <v>4800</v>
      </c>
      <c r="D250" s="206">
        <f>'Aktuelle data'!W17</f>
        <v>7572.72</v>
      </c>
      <c r="E250" s="212"/>
      <c r="F250" s="213">
        <f>'Aktuelle data'!X17</f>
        <v>631.06000000000006</v>
      </c>
      <c r="G250" s="214"/>
      <c r="H250" s="213">
        <f>'Aktuelle data'!Y17</f>
        <v>1257.828792</v>
      </c>
      <c r="I250" s="128"/>
      <c r="J250" s="215">
        <f>'Aktuelle data'!Z17</f>
        <v>8830.5487919999996</v>
      </c>
    </row>
    <row r="251" spans="2:10">
      <c r="C251" s="217">
        <v>4900</v>
      </c>
      <c r="D251" s="206">
        <f>'Aktuelle data'!W18</f>
        <v>7730.4849999999997</v>
      </c>
      <c r="E251" s="212"/>
      <c r="F251" s="213">
        <f>'Aktuelle data'!X18</f>
        <v>644.20708333333334</v>
      </c>
      <c r="G251" s="214"/>
      <c r="H251" s="213">
        <f>'Aktuelle data'!Y18</f>
        <v>1284.0335585</v>
      </c>
      <c r="I251" s="128"/>
      <c r="J251" s="215">
        <f>'Aktuelle data'!Z18</f>
        <v>9014.5185584999999</v>
      </c>
    </row>
    <row r="252" spans="2:10">
      <c r="C252" s="217">
        <v>5200</v>
      </c>
      <c r="D252" s="206">
        <f>'Aktuelle data'!W19</f>
        <v>8203.7800000000007</v>
      </c>
      <c r="E252" s="212"/>
      <c r="F252" s="213">
        <f>'Aktuelle data'!X19</f>
        <v>683.64833333333343</v>
      </c>
      <c r="G252" s="214"/>
      <c r="H252" s="213">
        <f>'Aktuelle data'!Y19</f>
        <v>1362.647858</v>
      </c>
      <c r="I252" s="128"/>
      <c r="J252" s="215">
        <f>'Aktuelle data'!Z19</f>
        <v>9566.4278580000009</v>
      </c>
    </row>
    <row r="253" spans="2:10">
      <c r="C253" s="217">
        <v>6000</v>
      </c>
      <c r="D253" s="206">
        <f>'Aktuelle data'!W20</f>
        <v>9465.9</v>
      </c>
      <c r="E253" s="212"/>
      <c r="F253" s="213">
        <f>'Aktuelle data'!X20</f>
        <v>788.82499999999993</v>
      </c>
      <c r="G253" s="214"/>
      <c r="H253" s="213">
        <f>'Aktuelle data'!Y20</f>
        <v>1572.2859899999999</v>
      </c>
      <c r="I253" s="128"/>
      <c r="J253" s="215">
        <f>'Aktuelle data'!Z20</f>
        <v>11038.18599</v>
      </c>
    </row>
    <row r="254" spans="2:10">
      <c r="C254" s="217">
        <v>7000</v>
      </c>
      <c r="D254" s="206">
        <f>'Aktuelle data'!W21</f>
        <v>11043.55</v>
      </c>
      <c r="E254" s="212"/>
      <c r="F254" s="213">
        <f>'Aktuelle data'!X21</f>
        <v>920.29583333333323</v>
      </c>
      <c r="G254" s="214"/>
      <c r="H254" s="213">
        <f>'Aktuelle data'!Y21</f>
        <v>1834.3336549999999</v>
      </c>
      <c r="I254" s="128"/>
      <c r="J254" s="215">
        <f>'Aktuelle data'!Z21</f>
        <v>12877.883655</v>
      </c>
    </row>
    <row r="255" spans="2:10">
      <c r="C255" s="218">
        <v>8100</v>
      </c>
      <c r="D255" s="206">
        <f>'Aktuelle data'!W22</f>
        <v>12778.965</v>
      </c>
      <c r="E255" s="212"/>
      <c r="F255" s="213">
        <f>'Aktuelle data'!X22</f>
        <v>1064.9137499999999</v>
      </c>
      <c r="G255" s="214"/>
      <c r="H255" s="213">
        <f>'Aktuelle data'!Y22</f>
        <v>2122.5860865</v>
      </c>
      <c r="I255" s="128"/>
      <c r="J255" s="215">
        <f>'Aktuelle data'!Z22</f>
        <v>14901.5510865</v>
      </c>
    </row>
    <row r="256" spans="2:10">
      <c r="C256" s="218">
        <v>9100</v>
      </c>
      <c r="D256" s="206">
        <f>'Aktuelle data'!W23</f>
        <v>14356.615</v>
      </c>
      <c r="E256" s="212"/>
      <c r="F256" s="213">
        <f>'Aktuelle data'!X23</f>
        <v>1196.3845833333332</v>
      </c>
      <c r="G256" s="214"/>
      <c r="H256" s="213">
        <f>'Aktuelle data'!Y23</f>
        <v>2384.6337514999996</v>
      </c>
      <c r="I256" s="128"/>
      <c r="J256" s="215">
        <f>'Aktuelle data'!Z23</f>
        <v>16741.248751499999</v>
      </c>
    </row>
    <row r="257" spans="3:10">
      <c r="C257" s="218">
        <v>12000</v>
      </c>
      <c r="D257" s="206">
        <f>'Aktuelle data'!W24</f>
        <v>18931.8</v>
      </c>
      <c r="E257" s="212"/>
      <c r="F257" s="213">
        <f>'Aktuelle data'!X24</f>
        <v>1577.6499999999999</v>
      </c>
      <c r="G257" s="214"/>
      <c r="H257" s="213">
        <f>'Aktuelle data'!Y24</f>
        <v>3144.5719799999997</v>
      </c>
      <c r="I257" s="128"/>
      <c r="J257" s="215">
        <f>'Aktuelle data'!Z24</f>
        <v>22076.37198</v>
      </c>
    </row>
    <row r="258" spans="3:10">
      <c r="C258" s="218">
        <v>20300</v>
      </c>
      <c r="D258" s="206">
        <f>'Aktuelle data'!W25</f>
        <v>32026.294999999998</v>
      </c>
      <c r="E258" s="212"/>
      <c r="F258" s="213">
        <f>'Aktuelle data'!X25</f>
        <v>2668.8579166666664</v>
      </c>
      <c r="G258" s="214"/>
      <c r="H258" s="213">
        <f>'Aktuelle data'!Y25</f>
        <v>5319.5675995000001</v>
      </c>
      <c r="I258" s="128"/>
      <c r="J258" s="215">
        <f>'Aktuelle data'!Z25</f>
        <v>37345.862599499997</v>
      </c>
    </row>
    <row r="259" spans="3:10">
      <c r="C259" s="218">
        <v>30600</v>
      </c>
      <c r="D259" s="206">
        <f>'Aktuelle data'!W26</f>
        <v>48276.09</v>
      </c>
      <c r="E259" s="212"/>
      <c r="F259" s="213">
        <f>'Aktuelle data'!X26</f>
        <v>4023.0074999999997</v>
      </c>
      <c r="G259" s="214"/>
      <c r="H259" s="213">
        <f>'Aktuelle data'!Y26</f>
        <v>8018.6585489999989</v>
      </c>
      <c r="I259" s="128"/>
      <c r="J259" s="215">
        <f>'Aktuelle data'!Z26</f>
        <v>56294.748548999996</v>
      </c>
    </row>
    <row r="260" spans="3:10" ht="15" thickBot="1">
      <c r="C260" s="159">
        <v>41000</v>
      </c>
      <c r="D260" s="206">
        <f>'Aktuelle data'!W27</f>
        <v>64683.65</v>
      </c>
      <c r="E260" s="164"/>
      <c r="F260" s="161">
        <f>'Aktuelle data'!X27</f>
        <v>5390.3041666666668</v>
      </c>
      <c r="G260" s="160"/>
      <c r="H260" s="161">
        <f>'Aktuelle data'!Y27</f>
        <v>10743.954265</v>
      </c>
      <c r="I260" s="165"/>
      <c r="J260" s="118">
        <f>'Aktuelle data'!Z27</f>
        <v>75427.604265000002</v>
      </c>
    </row>
    <row r="261" spans="3:10">
      <c r="C261" s="119"/>
    </row>
    <row r="262" spans="3:10">
      <c r="C262" s="89" t="s">
        <v>270</v>
      </c>
    </row>
    <row r="286" spans="2:13" ht="21">
      <c r="B286" s="563" t="s">
        <v>342</v>
      </c>
      <c r="C286" s="564"/>
      <c r="D286" s="564"/>
      <c r="E286" s="564"/>
      <c r="F286" s="564"/>
      <c r="G286" s="564"/>
      <c r="H286" s="564"/>
      <c r="I286" s="564"/>
      <c r="J286" s="564"/>
      <c r="K286" s="564"/>
      <c r="L286" s="564"/>
      <c r="M286" s="564"/>
    </row>
    <row r="287" spans="2:13" ht="15" thickBot="1">
      <c r="B287" s="120"/>
    </row>
    <row r="288" spans="2:13">
      <c r="B288" s="121" t="s">
        <v>259</v>
      </c>
      <c r="C288" s="122"/>
      <c r="D288" s="122"/>
      <c r="E288" s="122"/>
      <c r="F288" s="122"/>
      <c r="G288" s="122"/>
      <c r="H288" s="122"/>
      <c r="I288" s="122"/>
      <c r="J288" s="122"/>
      <c r="K288" s="122"/>
      <c r="L288" s="122"/>
      <c r="M288" s="123"/>
    </row>
    <row r="289" spans="2:13">
      <c r="B289" s="124" t="s">
        <v>260</v>
      </c>
      <c r="M289" s="95"/>
    </row>
    <row r="290" spans="2:13">
      <c r="B290" s="124" t="s">
        <v>261</v>
      </c>
      <c r="M290" s="95"/>
    </row>
    <row r="291" spans="2:13">
      <c r="B291" s="569" t="s">
        <v>314</v>
      </c>
      <c r="C291" s="570"/>
      <c r="D291" s="570"/>
      <c r="E291" s="570"/>
      <c r="F291" s="570"/>
      <c r="G291" s="570"/>
      <c r="H291" s="570"/>
      <c r="I291" s="570"/>
      <c r="J291" s="570"/>
      <c r="K291" s="570"/>
      <c r="L291" s="570"/>
      <c r="M291" s="571"/>
    </row>
    <row r="292" spans="2:13" ht="15" thickBot="1">
      <c r="B292" s="572" t="s">
        <v>262</v>
      </c>
      <c r="C292" s="573"/>
      <c r="D292" s="573"/>
      <c r="E292" s="573"/>
      <c r="F292" s="573"/>
      <c r="G292" s="573"/>
      <c r="H292" s="573"/>
      <c r="I292" s="573"/>
      <c r="J292" s="573"/>
      <c r="K292" s="573"/>
      <c r="L292" s="573"/>
      <c r="M292" s="574"/>
    </row>
    <row r="293" spans="2:13" ht="16" thickBot="1">
      <c r="B293" s="131"/>
    </row>
    <row r="294" spans="2:13" ht="15.5">
      <c r="B294" s="529" t="s">
        <v>302</v>
      </c>
      <c r="C294" s="530"/>
      <c r="D294" s="530"/>
      <c r="E294" s="530"/>
      <c r="F294" s="530"/>
      <c r="G294" s="530"/>
      <c r="H294" s="530"/>
      <c r="I294" s="530"/>
      <c r="J294" s="530"/>
      <c r="K294" s="530"/>
      <c r="L294" s="530"/>
      <c r="M294" s="531"/>
    </row>
    <row r="295" spans="2:13">
      <c r="B295" s="513" t="s">
        <v>263</v>
      </c>
      <c r="C295" s="514"/>
      <c r="D295" s="517">
        <f>'Aktuelle data'!D20</f>
        <v>449251</v>
      </c>
      <c r="E295" s="517"/>
      <c r="F295" s="517"/>
      <c r="G295" s="221" t="s">
        <v>257</v>
      </c>
      <c r="H295" s="565" t="s">
        <v>268</v>
      </c>
      <c r="I295" s="565"/>
      <c r="J295" s="565"/>
      <c r="K295" s="134" t="s">
        <v>265</v>
      </c>
      <c r="L295" s="509">
        <f>'Aktuelle data'!D20*30/37</f>
        <v>364257.56756756757</v>
      </c>
      <c r="M295" s="510"/>
    </row>
    <row r="296" spans="2:13">
      <c r="B296" s="515" t="s">
        <v>33</v>
      </c>
      <c r="C296" s="516"/>
      <c r="D296" s="231">
        <f>'Aktuelle data'!B44</f>
        <v>1500</v>
      </c>
      <c r="E296" s="221" t="s">
        <v>257</v>
      </c>
      <c r="F296" s="222">
        <f>'Aktuelle data'!C37</f>
        <v>1.57765</v>
      </c>
      <c r="G296" s="221" t="s">
        <v>257</v>
      </c>
      <c r="H296" s="516" t="s">
        <v>268</v>
      </c>
      <c r="I296" s="516"/>
      <c r="J296" s="516"/>
      <c r="K296" s="219" t="s">
        <v>265</v>
      </c>
      <c r="L296" s="223">
        <f>'Aktuelle data'!B44*'Aktuelle data'!C37*30/37</f>
        <v>1918.7635135135135</v>
      </c>
      <c r="M296" s="151"/>
    </row>
    <row r="297" spans="2:13">
      <c r="B297" s="513" t="s">
        <v>36</v>
      </c>
      <c r="C297" s="514"/>
      <c r="D297" s="224">
        <v>7900</v>
      </c>
      <c r="E297" s="221" t="s">
        <v>257</v>
      </c>
      <c r="F297" s="220">
        <f>'Aktuelle data'!C37</f>
        <v>1.57765</v>
      </c>
      <c r="G297" s="127"/>
      <c r="H297" s="126"/>
      <c r="I297" s="126"/>
      <c r="J297" s="219"/>
      <c r="K297" s="219" t="s">
        <v>265</v>
      </c>
      <c r="L297" s="223">
        <f>7900*'Aktuelle data'!C37</f>
        <v>12463.434999999999</v>
      </c>
      <c r="M297" s="232"/>
    </row>
    <row r="298" spans="2:13" ht="15.75" customHeight="1">
      <c r="B298" s="511" t="s">
        <v>57</v>
      </c>
      <c r="C298" s="512"/>
      <c r="D298" s="128"/>
      <c r="E298" s="128"/>
      <c r="F298" s="128"/>
      <c r="G298" s="128"/>
      <c r="H298" s="126"/>
      <c r="I298" s="126"/>
      <c r="J298" s="225"/>
      <c r="K298" s="225"/>
      <c r="L298" s="226">
        <f>SUM(L295:L297)</f>
        <v>378639.76608108106</v>
      </c>
      <c r="M298" s="153"/>
    </row>
    <row r="299" spans="2:13" ht="15" thickBot="1">
      <c r="B299" s="566" t="s">
        <v>58</v>
      </c>
      <c r="C299" s="567"/>
      <c r="D299" s="104"/>
      <c r="E299" s="104"/>
      <c r="F299" s="104"/>
      <c r="G299" s="104"/>
      <c r="H299" s="125"/>
      <c r="I299" s="125"/>
      <c r="J299" s="138"/>
      <c r="K299" s="138"/>
      <c r="L299" s="139">
        <f>L298/12</f>
        <v>31553.31384009009</v>
      </c>
      <c r="M299" s="133"/>
    </row>
    <row r="301" spans="2:13" ht="33.5">
      <c r="B301" s="129" t="s">
        <v>264</v>
      </c>
    </row>
    <row r="302" spans="2:13" ht="21">
      <c r="B302" s="563" t="s">
        <v>344</v>
      </c>
      <c r="C302" s="564"/>
      <c r="D302" s="564"/>
      <c r="E302" s="564"/>
      <c r="F302" s="564"/>
      <c r="G302" s="564"/>
      <c r="H302" s="564"/>
      <c r="I302" s="564"/>
      <c r="J302" s="564"/>
      <c r="K302" s="564"/>
      <c r="L302" s="564"/>
      <c r="M302" s="564"/>
    </row>
    <row r="304" spans="2:13">
      <c r="B304" s="519" t="s">
        <v>278</v>
      </c>
      <c r="C304" s="519"/>
      <c r="D304" s="519"/>
      <c r="E304" s="519"/>
      <c r="F304" s="519"/>
      <c r="G304" s="116"/>
      <c r="H304" s="116"/>
      <c r="I304" s="116"/>
      <c r="J304" s="116"/>
      <c r="K304" s="116"/>
      <c r="L304" s="188">
        <f>'Aktuelle data'!C38</f>
        <v>16.61</v>
      </c>
      <c r="M304" s="116"/>
    </row>
    <row r="305" spans="1:13" ht="27" customHeight="1">
      <c r="B305" s="519" t="s">
        <v>280</v>
      </c>
      <c r="C305" s="519"/>
      <c r="D305" s="519"/>
      <c r="E305" s="519"/>
      <c r="F305" s="519"/>
      <c r="G305" s="519"/>
      <c r="H305" s="519"/>
      <c r="I305" s="519"/>
      <c r="J305" s="519"/>
      <c r="K305" s="519"/>
      <c r="L305" s="519"/>
    </row>
    <row r="306" spans="1:13">
      <c r="A306" s="12"/>
      <c r="B306" s="562" t="s">
        <v>279</v>
      </c>
      <c r="C306" s="562"/>
      <c r="D306" s="562"/>
      <c r="E306" s="562"/>
      <c r="F306" s="562"/>
      <c r="G306" s="562"/>
      <c r="H306" s="562"/>
      <c r="I306" s="562"/>
      <c r="J306" s="562"/>
      <c r="K306" s="562"/>
      <c r="L306" s="562"/>
      <c r="M306" s="562"/>
    </row>
    <row r="307" spans="1:13" ht="15.5">
      <c r="B307" s="131"/>
    </row>
    <row r="308" spans="1:13" s="12" customFormat="1" ht="32.25" customHeight="1">
      <c r="A308"/>
      <c r="B308" s="577" t="s">
        <v>343</v>
      </c>
      <c r="C308" s="577"/>
      <c r="D308" s="577"/>
      <c r="E308" s="577"/>
      <c r="F308" s="577"/>
      <c r="G308" s="577"/>
      <c r="H308" s="577"/>
      <c r="I308" s="577"/>
      <c r="J308" s="577"/>
      <c r="K308" s="577"/>
      <c r="L308" s="577"/>
      <c r="M308" s="577"/>
    </row>
    <row r="309" spans="1:13" ht="16" thickBot="1">
      <c r="B309" s="131"/>
    </row>
    <row r="310" spans="1:13" ht="58">
      <c r="B310" s="320" t="s">
        <v>266</v>
      </c>
      <c r="C310" s="561">
        <f>'Aktuelle data'!R20</f>
        <v>449251</v>
      </c>
      <c r="D310" s="561"/>
      <c r="E310" s="147" t="s">
        <v>257</v>
      </c>
      <c r="F310" s="148">
        <f>'Aktuelle data'!C38</f>
        <v>16.61</v>
      </c>
      <c r="G310" s="148" t="s">
        <v>267</v>
      </c>
      <c r="H310" s="149">
        <v>100</v>
      </c>
      <c r="I310" s="149" t="s">
        <v>257</v>
      </c>
      <c r="J310" s="149" t="s">
        <v>268</v>
      </c>
      <c r="K310" s="150" t="s">
        <v>265</v>
      </c>
      <c r="L310" s="155">
        <f>'Aktuelle data'!C38*'Aktuelle data'!R20*30/37/100</f>
        <v>60503.181972972961</v>
      </c>
    </row>
    <row r="311" spans="1:13" ht="87">
      <c r="B311" s="321" t="s">
        <v>315</v>
      </c>
      <c r="C311" s="560">
        <f>'Aktuelle data'!B44</f>
        <v>1500</v>
      </c>
      <c r="D311" s="560"/>
      <c r="E311" s="134" t="s">
        <v>257</v>
      </c>
      <c r="F311" s="146">
        <f>'Aktuelle data'!C37</f>
        <v>1.57765</v>
      </c>
      <c r="G311" s="134" t="s">
        <v>257</v>
      </c>
      <c r="H311" s="145">
        <f>'Aktuelle data'!C38</f>
        <v>16.61</v>
      </c>
      <c r="I311" s="134" t="s">
        <v>257</v>
      </c>
      <c r="J311" s="126" t="s">
        <v>269</v>
      </c>
      <c r="K311" s="134" t="s">
        <v>265</v>
      </c>
      <c r="L311" s="151">
        <v>294.32</v>
      </c>
    </row>
    <row r="312" spans="1:13" ht="58">
      <c r="A312" s="144"/>
      <c r="B312" s="321" t="s">
        <v>283</v>
      </c>
      <c r="C312" s="560">
        <v>7900</v>
      </c>
      <c r="D312" s="560"/>
      <c r="E312" s="126" t="s">
        <v>257</v>
      </c>
      <c r="F312" s="134">
        <f>'Aktuelle data'!C37</f>
        <v>1.57765</v>
      </c>
      <c r="G312" s="126" t="s">
        <v>257</v>
      </c>
      <c r="H312" s="145">
        <f>'Aktuelle data'!C38</f>
        <v>16.61</v>
      </c>
      <c r="I312" s="134" t="s">
        <v>267</v>
      </c>
      <c r="J312" s="134">
        <v>100</v>
      </c>
      <c r="K312" s="134" t="s">
        <v>265</v>
      </c>
      <c r="L312" s="152">
        <f>7900*'Aktuelle data'!C37*'Aktuelle data'!C38/100</f>
        <v>2070.1765535</v>
      </c>
    </row>
    <row r="313" spans="1:13" ht="43.5">
      <c r="B313" s="321" t="s">
        <v>285</v>
      </c>
      <c r="C313" s="127"/>
      <c r="D313" s="128"/>
      <c r="E313" s="128"/>
      <c r="F313" s="128"/>
      <c r="G313" s="128"/>
      <c r="H313" s="126"/>
      <c r="I313" s="126"/>
      <c r="J313" s="128"/>
      <c r="K313" s="128"/>
      <c r="L313" s="153">
        <f>SUM(L310:L312)</f>
        <v>62867.678526472962</v>
      </c>
    </row>
    <row r="314" spans="1:13" ht="44" thickBot="1">
      <c r="B314" s="322" t="s">
        <v>286</v>
      </c>
      <c r="C314" s="154"/>
      <c r="D314" s="104"/>
      <c r="E314" s="104"/>
      <c r="F314" s="104"/>
      <c r="G314" s="104"/>
      <c r="H314" s="125"/>
      <c r="I314" s="125"/>
      <c r="J314" s="104"/>
      <c r="K314" s="104"/>
      <c r="L314" s="133">
        <f>L313/12</f>
        <v>5238.9732105394132</v>
      </c>
      <c r="M314" s="144"/>
    </row>
    <row r="315" spans="1:13">
      <c r="B315" s="132"/>
      <c r="C315" s="136"/>
      <c r="H315" s="130"/>
      <c r="I315" s="130"/>
      <c r="L315" s="137"/>
    </row>
    <row r="316" spans="1:13">
      <c r="B316" s="132"/>
      <c r="C316" s="136"/>
      <c r="H316" s="130"/>
      <c r="I316" s="130"/>
      <c r="L316" s="137"/>
    </row>
    <row r="317" spans="1:13">
      <c r="B317" s="132"/>
      <c r="C317" s="136"/>
      <c r="H317" s="130"/>
      <c r="I317" s="130"/>
      <c r="L317" s="137"/>
    </row>
    <row r="318" spans="1:13">
      <c r="B318" s="132"/>
      <c r="C318" s="136"/>
      <c r="H318" s="130"/>
      <c r="I318" s="130"/>
      <c r="L318" s="137"/>
    </row>
    <row r="319" spans="1:13">
      <c r="B319" s="132"/>
      <c r="C319" s="136"/>
      <c r="H319" s="130"/>
      <c r="I319" s="130"/>
      <c r="L319" s="137"/>
    </row>
    <row r="320" spans="1:13">
      <c r="B320" s="132"/>
      <c r="C320" s="136"/>
      <c r="H320" s="130"/>
      <c r="I320" s="130"/>
      <c r="L320" s="137"/>
    </row>
    <row r="321" spans="1:13">
      <c r="B321" s="132"/>
      <c r="C321" s="136"/>
      <c r="H321" s="130"/>
      <c r="I321" s="130"/>
      <c r="L321" s="137"/>
    </row>
    <row r="322" spans="1:13">
      <c r="B322" s="132"/>
      <c r="C322" s="136"/>
      <c r="H322" s="130"/>
      <c r="I322" s="130"/>
      <c r="L322" s="137"/>
    </row>
    <row r="323" spans="1:13">
      <c r="B323" s="132"/>
      <c r="C323" s="136"/>
      <c r="H323" s="130"/>
      <c r="I323" s="130"/>
      <c r="L323" s="137"/>
    </row>
    <row r="324" spans="1:13">
      <c r="B324" s="132"/>
      <c r="C324" s="136"/>
      <c r="H324" s="130"/>
      <c r="I324" s="130"/>
      <c r="L324" s="137"/>
    </row>
    <row r="325" spans="1:13" ht="20">
      <c r="A325" s="143"/>
      <c r="B325" s="132"/>
      <c r="C325" s="136"/>
      <c r="H325" s="130"/>
      <c r="I325" s="130"/>
      <c r="L325" s="137"/>
    </row>
    <row r="326" spans="1:13">
      <c r="B326" s="132"/>
      <c r="C326" s="136"/>
      <c r="H326" s="130"/>
      <c r="I326" s="130"/>
      <c r="L326" s="137"/>
    </row>
    <row r="327" spans="1:13" ht="20">
      <c r="B327" s="162" t="s">
        <v>345</v>
      </c>
      <c r="C327" s="162"/>
      <c r="D327" s="162"/>
      <c r="E327" s="162"/>
      <c r="F327" s="162"/>
      <c r="G327" s="163"/>
      <c r="H327" s="162"/>
      <c r="I327" s="162"/>
      <c r="J327" s="162"/>
      <c r="K327" s="162"/>
      <c r="L327" s="162"/>
      <c r="M327" s="143"/>
    </row>
    <row r="328" spans="1:13">
      <c r="B328" s="140"/>
    </row>
    <row r="329" spans="1:13" ht="31.25" customHeight="1">
      <c r="B329" s="559" t="s">
        <v>273</v>
      </c>
      <c r="C329" s="559"/>
      <c r="D329" s="559"/>
      <c r="E329" s="559"/>
      <c r="F329" s="559"/>
      <c r="G329" s="559"/>
      <c r="H329" s="559"/>
      <c r="I329" s="559"/>
      <c r="J329" s="559"/>
      <c r="K329" s="559"/>
      <c r="L329" s="97">
        <f>'Aktuelle data'!C37</f>
        <v>1.57765</v>
      </c>
    </row>
    <row r="330" spans="1:13">
      <c r="B330" s="96"/>
      <c r="C330" s="96"/>
      <c r="D330" s="96"/>
      <c r="E330" s="96"/>
      <c r="F330" s="96"/>
      <c r="G330" s="96"/>
      <c r="H330" s="96"/>
      <c r="I330" s="96"/>
      <c r="J330" s="96"/>
      <c r="K330" s="96"/>
      <c r="L330" s="97"/>
    </row>
    <row r="331" spans="1:13" ht="20">
      <c r="B331" s="536" t="s">
        <v>346</v>
      </c>
      <c r="C331" s="536"/>
      <c r="D331" s="536"/>
      <c r="E331" s="536"/>
      <c r="F331" s="536"/>
      <c r="G331" s="536"/>
      <c r="H331" s="536"/>
      <c r="I331" s="536"/>
      <c r="J331" s="536"/>
      <c r="K331" s="536"/>
      <c r="L331" s="536"/>
    </row>
    <row r="332" spans="1:13" ht="20.5" thickBot="1">
      <c r="B332" s="143"/>
      <c r="C332" s="143"/>
      <c r="D332" s="143"/>
      <c r="E332" s="143"/>
      <c r="F332" s="143"/>
      <c r="G332" s="143"/>
      <c r="H332" s="143"/>
      <c r="I332" s="143"/>
      <c r="J332" s="143"/>
      <c r="K332" s="143"/>
      <c r="L332" s="143"/>
    </row>
    <row r="333" spans="1:13">
      <c r="C333" s="557" t="s">
        <v>258</v>
      </c>
      <c r="D333" s="558"/>
      <c r="E333" s="558"/>
      <c r="F333" s="558"/>
      <c r="G333" s="558"/>
      <c r="H333" s="558"/>
      <c r="I333" s="558"/>
      <c r="J333" s="323">
        <f>'Aktuelle data'!C37</f>
        <v>1.57765</v>
      </c>
    </row>
    <row r="334" spans="1:13" ht="55.5" customHeight="1">
      <c r="C334" s="324" t="s">
        <v>255</v>
      </c>
      <c r="D334" s="325" t="s">
        <v>251</v>
      </c>
      <c r="E334" s="578" t="s">
        <v>252</v>
      </c>
      <c r="F334" s="578"/>
      <c r="G334" s="578" t="s">
        <v>253</v>
      </c>
      <c r="H334" s="578"/>
      <c r="I334" s="578" t="s">
        <v>254</v>
      </c>
      <c r="J334" s="579"/>
    </row>
    <row r="335" spans="1:13">
      <c r="C335" s="264">
        <v>1000</v>
      </c>
      <c r="D335" s="201">
        <f>'Aktuelle data'!AD7</f>
        <v>1577.65</v>
      </c>
      <c r="E335" s="263"/>
      <c r="F335" s="202">
        <f>'Aktuelle data'!AE7</f>
        <v>131.47083333333333</v>
      </c>
      <c r="G335" s="263"/>
      <c r="H335" s="202">
        <f>'Aktuelle data'!AF7</f>
        <v>269.620385</v>
      </c>
      <c r="I335" s="263"/>
      <c r="J335" s="203">
        <f>'Aktuelle data'!AG7</f>
        <v>1847.270385</v>
      </c>
    </row>
    <row r="336" spans="1:13">
      <c r="C336" s="200">
        <v>1500</v>
      </c>
      <c r="D336" s="201">
        <f>'Aktuelle data'!AD8</f>
        <v>2366.4749999999999</v>
      </c>
      <c r="E336" s="128"/>
      <c r="F336" s="202">
        <f>'Aktuelle data'!AE8</f>
        <v>197.20624999999998</v>
      </c>
      <c r="G336" s="128"/>
      <c r="H336" s="202">
        <f>'Aktuelle data'!AF8</f>
        <v>404.43057750000003</v>
      </c>
      <c r="I336" s="128"/>
      <c r="J336" s="203">
        <f>'Aktuelle data'!AG8</f>
        <v>2770.9055774999997</v>
      </c>
    </row>
    <row r="337" spans="3:10">
      <c r="C337" s="200">
        <v>2500</v>
      </c>
      <c r="D337" s="201">
        <f>'Aktuelle data'!AD9</f>
        <v>3944.125</v>
      </c>
      <c r="E337" s="128"/>
      <c r="F337" s="202">
        <f>'Aktuelle data'!AE9</f>
        <v>328.67708333333331</v>
      </c>
      <c r="G337" s="128"/>
      <c r="H337" s="202">
        <f>'Aktuelle data'!AF9</f>
        <v>674.05096249999997</v>
      </c>
      <c r="I337" s="128"/>
      <c r="J337" s="203">
        <f>'Aktuelle data'!AG9</f>
        <v>4618.1759624999995</v>
      </c>
    </row>
    <row r="338" spans="3:10">
      <c r="C338" s="200">
        <v>2800</v>
      </c>
      <c r="D338" s="201">
        <f>'Aktuelle data'!AD10</f>
        <v>4417.42</v>
      </c>
      <c r="E338" s="128"/>
      <c r="F338" s="202">
        <f>'Aktuelle data'!AE10</f>
        <v>368.11833333333334</v>
      </c>
      <c r="G338" s="128"/>
      <c r="H338" s="202">
        <f>'Aktuelle data'!AF10</f>
        <v>754.93707800000004</v>
      </c>
      <c r="I338" s="128"/>
      <c r="J338" s="203">
        <f>'Aktuelle data'!AG10</f>
        <v>5172.357078</v>
      </c>
    </row>
    <row r="339" spans="3:10">
      <c r="C339" s="200">
        <v>3100</v>
      </c>
      <c r="D339" s="201">
        <f>'Aktuelle data'!AD11</f>
        <v>4890.7150000000001</v>
      </c>
      <c r="E339" s="128"/>
      <c r="F339" s="202">
        <f>'Aktuelle data'!AE11</f>
        <v>407.55958333333336</v>
      </c>
      <c r="G339" s="128"/>
      <c r="H339" s="202">
        <f>'Aktuelle data'!AF11</f>
        <v>835.8231935</v>
      </c>
      <c r="I339" s="128"/>
      <c r="J339" s="203">
        <f>'Aktuelle data'!AG11</f>
        <v>5726.5381935000005</v>
      </c>
    </row>
    <row r="340" spans="3:10">
      <c r="C340" s="200">
        <v>3400</v>
      </c>
      <c r="D340" s="201">
        <f>'Aktuelle data'!AD12</f>
        <v>5364.01</v>
      </c>
      <c r="E340" s="128"/>
      <c r="F340" s="202">
        <f>'Aktuelle data'!AE12</f>
        <v>447.00083333333333</v>
      </c>
      <c r="G340" s="128"/>
      <c r="H340" s="202">
        <f>'Aktuelle data'!AF12</f>
        <v>916.70930900000008</v>
      </c>
      <c r="I340" s="128"/>
      <c r="J340" s="203">
        <f>'Aktuelle data'!AG12</f>
        <v>6280.7193090000001</v>
      </c>
    </row>
    <row r="341" spans="3:10">
      <c r="C341" s="200">
        <v>3600</v>
      </c>
      <c r="D341" s="201">
        <f>'Aktuelle data'!AD13</f>
        <v>5679.54</v>
      </c>
      <c r="E341" s="128"/>
      <c r="F341" s="202">
        <f>'Aktuelle data'!AE13</f>
        <v>473.29500000000002</v>
      </c>
      <c r="G341" s="128"/>
      <c r="H341" s="202">
        <f>'Aktuelle data'!AF13</f>
        <v>970.63338599999997</v>
      </c>
      <c r="I341" s="128"/>
      <c r="J341" s="203">
        <f>'Aktuelle data'!AG13</f>
        <v>6650.1733860000004</v>
      </c>
    </row>
    <row r="342" spans="3:10">
      <c r="C342" s="200">
        <v>3800</v>
      </c>
      <c r="D342" s="201">
        <f>'Aktuelle data'!AD14</f>
        <v>5995.07</v>
      </c>
      <c r="E342" s="128"/>
      <c r="F342" s="202">
        <f>'Aktuelle data'!AE14</f>
        <v>499.58916666666664</v>
      </c>
      <c r="G342" s="128"/>
      <c r="H342" s="202">
        <f>'Aktuelle data'!AF14</f>
        <v>1024.5574630000001</v>
      </c>
      <c r="I342" s="128"/>
      <c r="J342" s="203">
        <f>'Aktuelle data'!AG14</f>
        <v>7019.6274629999998</v>
      </c>
    </row>
    <row r="343" spans="3:10">
      <c r="C343" s="200">
        <v>4100</v>
      </c>
      <c r="D343" s="201">
        <f>'Aktuelle data'!AD15</f>
        <v>6468.3649999999998</v>
      </c>
      <c r="E343" s="128"/>
      <c r="F343" s="202">
        <f>'Aktuelle data'!AE15</f>
        <v>539.03041666666661</v>
      </c>
      <c r="G343" s="128"/>
      <c r="H343" s="202">
        <f>'Aktuelle data'!AF15</f>
        <v>1105.4435785000001</v>
      </c>
      <c r="I343" s="128"/>
      <c r="J343" s="203">
        <f>'Aktuelle data'!AG15</f>
        <v>7573.8085785000003</v>
      </c>
    </row>
    <row r="344" spans="3:10">
      <c r="C344" s="200">
        <v>4300</v>
      </c>
      <c r="D344" s="201">
        <f>'Aktuelle data'!AD16</f>
        <v>6783.8950000000004</v>
      </c>
      <c r="E344" s="128"/>
      <c r="F344" s="202">
        <f>'Aktuelle data'!AE16</f>
        <v>565.32458333333341</v>
      </c>
      <c r="G344" s="128"/>
      <c r="H344" s="202">
        <f>'Aktuelle data'!AF16</f>
        <v>1159.3676555000002</v>
      </c>
      <c r="I344" s="128"/>
      <c r="J344" s="203">
        <f>'Aktuelle data'!AG16</f>
        <v>7943.2626555000006</v>
      </c>
    </row>
    <row r="345" spans="3:10">
      <c r="C345" s="200">
        <v>4800</v>
      </c>
      <c r="D345" s="201">
        <f>'Aktuelle data'!AD17</f>
        <v>7572.72</v>
      </c>
      <c r="E345" s="128"/>
      <c r="F345" s="202">
        <f>'Aktuelle data'!AE17</f>
        <v>631.06000000000006</v>
      </c>
      <c r="G345" s="128"/>
      <c r="H345" s="202">
        <f>'Aktuelle data'!AF17</f>
        <v>1294.177848</v>
      </c>
      <c r="I345" s="128"/>
      <c r="J345" s="203">
        <f>'Aktuelle data'!AG17</f>
        <v>8866.8978480000005</v>
      </c>
    </row>
    <row r="346" spans="3:10">
      <c r="C346" s="200">
        <v>4900</v>
      </c>
      <c r="D346" s="201">
        <f>'Aktuelle data'!AD18</f>
        <v>7730.4849999999997</v>
      </c>
      <c r="E346" s="128"/>
      <c r="F346" s="202">
        <f>'Aktuelle data'!AE18</f>
        <v>644.20708333333334</v>
      </c>
      <c r="G346" s="128"/>
      <c r="H346" s="202">
        <f>'Aktuelle data'!AF18</f>
        <v>1321.1398864999999</v>
      </c>
      <c r="I346" s="128"/>
      <c r="J346" s="203">
        <f>'Aktuelle data'!AG18</f>
        <v>9051.6248864999998</v>
      </c>
    </row>
    <row r="347" spans="3:10">
      <c r="C347" s="200">
        <v>5200</v>
      </c>
      <c r="D347" s="201">
        <f>'Aktuelle data'!AD19</f>
        <v>8203.7800000000007</v>
      </c>
      <c r="E347" s="128"/>
      <c r="F347" s="202">
        <f>'Aktuelle data'!AE19</f>
        <v>683.64833333333343</v>
      </c>
      <c r="G347" s="128"/>
      <c r="H347" s="202">
        <f>'Aktuelle data'!AF19</f>
        <v>1402.0260020000001</v>
      </c>
      <c r="I347" s="128"/>
      <c r="J347" s="203">
        <f>'Aktuelle data'!AG19</f>
        <v>9605.8060020000012</v>
      </c>
    </row>
    <row r="348" spans="3:10">
      <c r="C348" s="200">
        <v>6000</v>
      </c>
      <c r="D348" s="201">
        <f>'Aktuelle data'!AD20</f>
        <v>9465.9</v>
      </c>
      <c r="E348" s="128"/>
      <c r="F348" s="202">
        <f>'Aktuelle data'!AE20</f>
        <v>788.82499999999993</v>
      </c>
      <c r="G348" s="128"/>
      <c r="H348" s="202">
        <f>'Aktuelle data'!AF20</f>
        <v>1617.7223100000001</v>
      </c>
      <c r="I348" s="128"/>
      <c r="J348" s="203">
        <f>'Aktuelle data'!AG20</f>
        <v>11083.622309999999</v>
      </c>
    </row>
    <row r="349" spans="3:10">
      <c r="C349" s="200">
        <v>7000</v>
      </c>
      <c r="D349" s="201">
        <f>'Aktuelle data'!AD21</f>
        <v>11043.55</v>
      </c>
      <c r="E349" s="128"/>
      <c r="F349" s="202">
        <f>'Aktuelle data'!AE21</f>
        <v>920.29583333333323</v>
      </c>
      <c r="G349" s="128"/>
      <c r="H349" s="202">
        <f>'Aktuelle data'!AF21</f>
        <v>1887.342695</v>
      </c>
      <c r="I349" s="128"/>
      <c r="J349" s="203">
        <f>'Aktuelle data'!AG21</f>
        <v>12930.892694999999</v>
      </c>
    </row>
    <row r="350" spans="3:10">
      <c r="C350" s="204">
        <v>8100</v>
      </c>
      <c r="D350" s="201">
        <f>'Aktuelle data'!AD22</f>
        <v>12778.965</v>
      </c>
      <c r="E350" s="128"/>
      <c r="F350" s="202">
        <f>'Aktuelle data'!AE22</f>
        <v>1064.9137499999999</v>
      </c>
      <c r="G350" s="128"/>
      <c r="H350" s="202">
        <f>'Aktuelle data'!AF22</f>
        <v>2183.9251185000003</v>
      </c>
      <c r="I350" s="128"/>
      <c r="J350" s="203">
        <f>'Aktuelle data'!AG22</f>
        <v>14962.8901185</v>
      </c>
    </row>
    <row r="351" spans="3:10">
      <c r="C351" s="204">
        <v>9100</v>
      </c>
      <c r="D351" s="201">
        <f>'Aktuelle data'!AD23</f>
        <v>14356.615</v>
      </c>
      <c r="E351" s="128"/>
      <c r="F351" s="202">
        <f>'Aktuelle data'!AE23</f>
        <v>1196.3845833333332</v>
      </c>
      <c r="G351" s="128"/>
      <c r="H351" s="202">
        <f>'Aktuelle data'!AF23</f>
        <v>2453.5455035</v>
      </c>
      <c r="I351" s="128"/>
      <c r="J351" s="203">
        <f>'Aktuelle data'!AG23</f>
        <v>16810.160503499999</v>
      </c>
    </row>
    <row r="352" spans="3:10">
      <c r="C352" s="204">
        <v>12000</v>
      </c>
      <c r="D352" s="201">
        <f>'Aktuelle data'!AD24</f>
        <v>18931.8</v>
      </c>
      <c r="E352" s="128"/>
      <c r="F352" s="202">
        <f>'Aktuelle data'!AE24</f>
        <v>1577.6499999999999</v>
      </c>
      <c r="G352" s="128"/>
      <c r="H352" s="202">
        <f>'Aktuelle data'!AF24</f>
        <v>3235.4446200000002</v>
      </c>
      <c r="I352" s="128"/>
      <c r="J352" s="203">
        <f>'Aktuelle data'!AG24</f>
        <v>22167.244619999998</v>
      </c>
    </row>
    <row r="353" spans="2:10">
      <c r="C353" s="204">
        <v>20300</v>
      </c>
      <c r="D353" s="201">
        <f>'Aktuelle data'!AD25</f>
        <v>32026.294999999998</v>
      </c>
      <c r="E353" s="128"/>
      <c r="F353" s="202">
        <f>'Aktuelle data'!AE25</f>
        <v>2668.8579166666664</v>
      </c>
      <c r="G353" s="128"/>
      <c r="H353" s="202">
        <f>'Aktuelle data'!AF25</f>
        <v>5473.2938154999993</v>
      </c>
      <c r="I353" s="128"/>
      <c r="J353" s="203">
        <f>'Aktuelle data'!AG25</f>
        <v>37499.588815499999</v>
      </c>
    </row>
    <row r="354" spans="2:10">
      <c r="C354" s="204">
        <v>30600</v>
      </c>
      <c r="D354" s="201">
        <f>'Aktuelle data'!AD26</f>
        <v>48276.09</v>
      </c>
      <c r="E354" s="128"/>
      <c r="F354" s="202">
        <f>'Aktuelle data'!AE26</f>
        <v>4023.0074999999997</v>
      </c>
      <c r="G354" s="128"/>
      <c r="H354" s="202">
        <f>'Aktuelle data'!AF26</f>
        <v>8250.3837810000005</v>
      </c>
      <c r="I354" s="128"/>
      <c r="J354" s="203">
        <f>'Aktuelle data'!AG26</f>
        <v>56526.473780999993</v>
      </c>
    </row>
    <row r="355" spans="2:10" ht="15" thickBot="1">
      <c r="B355" s="99" t="s">
        <v>274</v>
      </c>
      <c r="C355" s="158">
        <v>41000</v>
      </c>
      <c r="D355" s="201">
        <f>'Aktuelle data'!AD27</f>
        <v>64683.65</v>
      </c>
      <c r="E355" s="104"/>
      <c r="F355" s="202">
        <f>'Aktuelle data'!AE27</f>
        <v>5390.3041666666668</v>
      </c>
      <c r="G355" s="104"/>
      <c r="H355" s="202">
        <f>'Aktuelle data'!AF27</f>
        <v>11054.435785000001</v>
      </c>
      <c r="I355" s="104"/>
      <c r="J355" s="203">
        <f>'Aktuelle data'!AG27</f>
        <v>75738.085785000003</v>
      </c>
    </row>
    <row r="356" spans="2:10">
      <c r="B356" s="141"/>
    </row>
    <row r="357" spans="2:10">
      <c r="B357" s="98" t="s">
        <v>272</v>
      </c>
    </row>
    <row r="382" spans="2:12" ht="21">
      <c r="B382" s="605" t="s">
        <v>347</v>
      </c>
      <c r="C382" s="605"/>
      <c r="D382" s="605"/>
      <c r="E382" s="605"/>
      <c r="F382" s="605"/>
      <c r="G382" s="605"/>
      <c r="H382" s="605"/>
      <c r="I382" s="605"/>
      <c r="J382" s="605"/>
      <c r="K382" s="605"/>
      <c r="L382" s="605"/>
    </row>
    <row r="383" spans="2:12" ht="15" thickBot="1"/>
    <row r="384" spans="2:12">
      <c r="B384" s="555" t="s">
        <v>276</v>
      </c>
      <c r="C384" s="556"/>
      <c r="D384" s="556"/>
      <c r="E384" s="556"/>
      <c r="F384" s="556"/>
      <c r="G384" s="556"/>
      <c r="H384" s="556"/>
      <c r="I384" s="556"/>
      <c r="J384" s="123"/>
    </row>
    <row r="385" spans="2:13">
      <c r="B385" s="548" t="s">
        <v>316</v>
      </c>
      <c r="C385" s="549"/>
      <c r="D385" s="549"/>
      <c r="E385" s="549"/>
      <c r="J385" s="95"/>
    </row>
    <row r="386" spans="2:13" ht="15" thickBot="1">
      <c r="B386" s="550" t="s">
        <v>317</v>
      </c>
      <c r="C386" s="551"/>
      <c r="D386" s="551"/>
      <c r="E386" s="551"/>
      <c r="F386" s="551"/>
      <c r="G386" s="551"/>
      <c r="H386" s="551"/>
      <c r="I386" s="551"/>
      <c r="J386" s="552"/>
    </row>
    <row r="387" spans="2:13" ht="15" thickBot="1"/>
    <row r="388" spans="2:13">
      <c r="B388" s="601" t="s">
        <v>303</v>
      </c>
      <c r="C388" s="602"/>
      <c r="D388" s="602"/>
      <c r="E388" s="602"/>
      <c r="F388" s="602"/>
      <c r="G388" s="602"/>
      <c r="H388" s="602"/>
      <c r="I388" s="602"/>
      <c r="J388" s="602"/>
      <c r="K388" s="602"/>
      <c r="L388" s="603"/>
    </row>
    <row r="389" spans="2:13">
      <c r="B389" s="553" t="s">
        <v>55</v>
      </c>
      <c r="C389" s="554"/>
      <c r="D389" s="128"/>
      <c r="E389" s="128"/>
      <c r="F389" s="128"/>
      <c r="G389" s="128"/>
      <c r="H389" s="128"/>
      <c r="I389" s="128"/>
      <c r="J389" s="128"/>
      <c r="K389" s="128"/>
      <c r="L389" s="183">
        <f>'Aktuelle data'!E29</f>
        <v>606329</v>
      </c>
    </row>
    <row r="390" spans="2:13">
      <c r="B390" s="227" t="s">
        <v>277</v>
      </c>
      <c r="C390" s="222"/>
      <c r="D390" s="222"/>
      <c r="E390" s="222"/>
      <c r="F390" s="228">
        <v>30000</v>
      </c>
      <c r="G390" s="128" t="s">
        <v>257</v>
      </c>
      <c r="H390" s="128">
        <f>'Aktuelle data'!C37</f>
        <v>1.57765</v>
      </c>
      <c r="I390" s="128"/>
      <c r="J390" s="128"/>
      <c r="K390" s="128" t="s">
        <v>265</v>
      </c>
      <c r="L390" s="183">
        <f>30000*'Aktuelle data'!C37</f>
        <v>47329.5</v>
      </c>
    </row>
    <row r="391" spans="2:13">
      <c r="B391" s="229" t="s">
        <v>57</v>
      </c>
      <c r="C391" s="128"/>
      <c r="D391" s="128"/>
      <c r="E391" s="128"/>
      <c r="F391" s="128"/>
      <c r="G391" s="128"/>
      <c r="H391" s="128"/>
      <c r="I391" s="128"/>
      <c r="J391" s="128"/>
      <c r="K391" s="128"/>
      <c r="L391" s="184">
        <f>SUM(L389:L390)</f>
        <v>653658.5</v>
      </c>
    </row>
    <row r="392" spans="2:13" ht="15" thickBot="1">
      <c r="B392" s="545" t="s">
        <v>58</v>
      </c>
      <c r="C392" s="546"/>
      <c r="D392" s="104"/>
      <c r="E392" s="104"/>
      <c r="F392" s="104"/>
      <c r="G392" s="104"/>
      <c r="H392" s="104"/>
      <c r="I392" s="104"/>
      <c r="J392" s="104"/>
      <c r="K392" s="104"/>
      <c r="L392" s="176">
        <f>L391/12</f>
        <v>54471.541666666664</v>
      </c>
    </row>
    <row r="394" spans="2:13" ht="20">
      <c r="B394" s="547" t="s">
        <v>348</v>
      </c>
      <c r="C394" s="547"/>
      <c r="D394" s="547"/>
      <c r="E394" s="547"/>
      <c r="F394" s="547"/>
      <c r="G394" s="547"/>
      <c r="H394" s="547"/>
      <c r="I394" s="547"/>
      <c r="J394" s="547"/>
      <c r="K394" s="547"/>
      <c r="L394" s="547"/>
      <c r="M394" s="157"/>
    </row>
    <row r="395" spans="2:13" ht="20">
      <c r="B395" s="163"/>
      <c r="C395" s="163"/>
      <c r="D395" s="163"/>
      <c r="E395" s="163"/>
      <c r="F395" s="163"/>
      <c r="G395" s="163"/>
      <c r="H395" s="163"/>
      <c r="I395" s="163"/>
      <c r="J395" s="163"/>
      <c r="K395" s="163"/>
      <c r="L395" s="163"/>
      <c r="M395" s="157"/>
    </row>
    <row r="396" spans="2:13">
      <c r="B396" s="543" t="s">
        <v>281</v>
      </c>
      <c r="C396" s="543"/>
      <c r="D396" s="543"/>
      <c r="E396" s="543"/>
      <c r="F396" s="543"/>
      <c r="G396" s="543"/>
      <c r="H396" s="543"/>
      <c r="I396" s="543"/>
      <c r="J396" s="543"/>
      <c r="K396" s="543"/>
      <c r="L396" s="3">
        <f>'Aktuelle data'!C39</f>
        <v>17.09</v>
      </c>
    </row>
    <row r="397" spans="2:13" ht="30.25" customHeight="1">
      <c r="B397" s="534" t="s">
        <v>282</v>
      </c>
      <c r="C397" s="542"/>
      <c r="D397" s="542"/>
      <c r="E397" s="542"/>
      <c r="F397" s="542"/>
      <c r="G397" s="542"/>
      <c r="H397" s="542"/>
      <c r="I397" s="542"/>
      <c r="J397" s="542"/>
      <c r="K397" s="542"/>
      <c r="L397" s="542"/>
      <c r="M397" s="542"/>
    </row>
    <row r="399" spans="2:13" ht="31" customHeight="1">
      <c r="B399" s="544" t="s">
        <v>349</v>
      </c>
      <c r="C399" s="544"/>
      <c r="D399" s="544"/>
      <c r="E399" s="544"/>
      <c r="F399" s="544"/>
      <c r="G399" s="544"/>
      <c r="H399" s="544"/>
      <c r="I399" s="544"/>
      <c r="J399" s="544"/>
      <c r="K399" s="544"/>
      <c r="L399" s="544"/>
    </row>
    <row r="400" spans="2:13" ht="15" thickBot="1">
      <c r="B400" s="168"/>
    </row>
    <row r="401" spans="2:12" ht="56.5">
      <c r="B401" s="326" t="s">
        <v>284</v>
      </c>
      <c r="C401" s="540">
        <f>'Aktuelle data'!S29</f>
        <v>620630</v>
      </c>
      <c r="D401" s="540"/>
      <c r="E401" s="177" t="s">
        <v>257</v>
      </c>
      <c r="F401" s="178">
        <f>'Aktuelle data'!C39</f>
        <v>17.09</v>
      </c>
      <c r="G401" s="179" t="s">
        <v>267</v>
      </c>
      <c r="H401" s="177">
        <v>100</v>
      </c>
      <c r="I401" s="177"/>
      <c r="J401" s="177"/>
      <c r="K401" s="179" t="s">
        <v>265</v>
      </c>
      <c r="L401" s="180">
        <f>'Aktuelle data'!S29*'Aktuelle data'!C39/100</f>
        <v>106065.66699999999</v>
      </c>
    </row>
    <row r="402" spans="2:12" ht="58">
      <c r="B402" s="327" t="s">
        <v>283</v>
      </c>
      <c r="C402" s="541">
        <v>30000</v>
      </c>
      <c r="D402" s="541"/>
      <c r="E402" s="128" t="s">
        <v>257</v>
      </c>
      <c r="F402" s="128">
        <f>'Aktuelle data'!C37</f>
        <v>1.57765</v>
      </c>
      <c r="G402" s="128" t="s">
        <v>257</v>
      </c>
      <c r="H402" s="181">
        <f>'Aktuelle data'!C39</f>
        <v>17.09</v>
      </c>
      <c r="I402" s="128" t="s">
        <v>267</v>
      </c>
      <c r="J402" s="182">
        <v>100</v>
      </c>
      <c r="K402" s="128" t="s">
        <v>265</v>
      </c>
      <c r="L402" s="183">
        <f>30000*'Aktuelle data'!C37*'Aktuelle data'!C39/100</f>
        <v>8088.6115500000005</v>
      </c>
    </row>
    <row r="403" spans="2:12" ht="43.5">
      <c r="B403" s="328" t="s">
        <v>285</v>
      </c>
      <c r="C403" s="128"/>
      <c r="D403" s="128"/>
      <c r="E403" s="128"/>
      <c r="F403" s="128"/>
      <c r="G403" s="128"/>
      <c r="H403" s="128"/>
      <c r="I403" s="128"/>
      <c r="J403" s="128"/>
      <c r="K403" s="128"/>
      <c r="L403" s="184">
        <f>SUM(L401:L402)</f>
        <v>114154.27854999999</v>
      </c>
    </row>
    <row r="404" spans="2:12" ht="44" thickBot="1">
      <c r="B404" s="329" t="s">
        <v>286</v>
      </c>
      <c r="C404" s="104"/>
      <c r="D404" s="104"/>
      <c r="E404" s="104"/>
      <c r="F404" s="104"/>
      <c r="G404" s="104"/>
      <c r="H404" s="104"/>
      <c r="I404" s="104"/>
      <c r="J404" s="104"/>
      <c r="K404" s="104"/>
      <c r="L404" s="176">
        <f>L403/12</f>
        <v>9512.8565458333323</v>
      </c>
    </row>
    <row r="405" spans="2:12">
      <c r="B405" s="169"/>
      <c r="C405" s="170"/>
      <c r="D405" s="171"/>
    </row>
    <row r="406" spans="2:12">
      <c r="B406" s="169"/>
      <c r="C406" s="172"/>
      <c r="D406" s="173"/>
    </row>
    <row r="407" spans="2:12">
      <c r="B407" s="174"/>
      <c r="C407" s="170"/>
      <c r="D407" s="175"/>
    </row>
    <row r="408" spans="2:12">
      <c r="B408" s="174"/>
      <c r="C408" s="170"/>
      <c r="D408" s="175"/>
    </row>
    <row r="429" spans="2:12" ht="21">
      <c r="B429" s="604" t="s">
        <v>312</v>
      </c>
      <c r="C429" s="604"/>
      <c r="D429" s="604"/>
      <c r="E429" s="604"/>
      <c r="F429" s="604"/>
      <c r="G429" s="604"/>
      <c r="H429" s="604"/>
    </row>
    <row r="430" spans="2:12" ht="15" thickBot="1"/>
    <row r="431" spans="2:12" ht="15.75" customHeight="1">
      <c r="B431" s="588" t="s">
        <v>310</v>
      </c>
      <c r="C431" s="589"/>
      <c r="D431" s="589"/>
      <c r="E431" s="589"/>
      <c r="F431" s="589"/>
      <c r="G431" s="589"/>
      <c r="H431" s="589"/>
      <c r="I431" s="589"/>
      <c r="J431" s="589"/>
      <c r="K431" s="590">
        <v>0.25</v>
      </c>
      <c r="L431" s="591"/>
    </row>
    <row r="432" spans="2:12" ht="30.75" customHeight="1">
      <c r="B432" s="592" t="s">
        <v>311</v>
      </c>
      <c r="C432" s="593"/>
      <c r="D432" s="593"/>
      <c r="E432" s="593"/>
      <c r="F432" s="593"/>
      <c r="G432" s="593"/>
      <c r="H432" s="593"/>
      <c r="I432" s="593"/>
      <c r="J432" s="593"/>
      <c r="K432" s="594" t="s">
        <v>292</v>
      </c>
      <c r="L432" s="594"/>
    </row>
    <row r="433" spans="2:12" ht="14.5" customHeight="1">
      <c r="B433" s="592"/>
      <c r="C433" s="593"/>
      <c r="D433" s="593"/>
      <c r="E433" s="593"/>
      <c r="F433" s="593"/>
      <c r="G433" s="593"/>
      <c r="H433" s="593"/>
      <c r="I433" s="593"/>
      <c r="J433" s="593"/>
      <c r="K433" s="594" t="s">
        <v>291</v>
      </c>
      <c r="L433" s="594"/>
    </row>
    <row r="434" spans="2:12" ht="14.5" customHeight="1">
      <c r="B434" s="592"/>
      <c r="C434" s="593"/>
      <c r="D434" s="593"/>
      <c r="E434" s="593"/>
      <c r="F434" s="593"/>
      <c r="G434" s="593"/>
      <c r="H434" s="593"/>
      <c r="I434" s="593"/>
      <c r="J434" s="593"/>
      <c r="K434" s="594" t="s">
        <v>287</v>
      </c>
      <c r="L434" s="594"/>
    </row>
    <row r="435" spans="2:12">
      <c r="B435" s="592" t="s">
        <v>288</v>
      </c>
      <c r="C435" s="593"/>
      <c r="D435" s="593"/>
      <c r="E435" s="593"/>
      <c r="F435" s="593"/>
      <c r="G435" s="593"/>
      <c r="H435" s="593"/>
      <c r="I435" s="593"/>
      <c r="J435" s="595"/>
      <c r="K435" s="189" t="s">
        <v>264</v>
      </c>
      <c r="L435" s="152">
        <f>'Aktuelle data'!G37*'Aktuelle data'!C37</f>
        <v>85.193100000000001</v>
      </c>
    </row>
    <row r="436" spans="2:12" ht="15.25" customHeight="1">
      <c r="B436" s="592" t="s">
        <v>305</v>
      </c>
      <c r="C436" s="593"/>
      <c r="D436" s="593"/>
      <c r="E436" s="593"/>
      <c r="F436" s="593"/>
      <c r="G436" s="593"/>
      <c r="H436" s="593"/>
      <c r="I436" s="593"/>
      <c r="J436" s="593"/>
      <c r="K436" s="185"/>
      <c r="L436" s="187">
        <f>'Aktuelle data'!G38*'Aktuelle data'!C37</f>
        <v>9.1819230000000012</v>
      </c>
    </row>
    <row r="437" spans="2:12" ht="29.25" customHeight="1">
      <c r="B437" s="592"/>
      <c r="C437" s="593"/>
      <c r="D437" s="593"/>
      <c r="E437" s="593"/>
      <c r="F437" s="593"/>
      <c r="G437" s="593"/>
      <c r="H437" s="593"/>
      <c r="I437" s="593"/>
      <c r="J437" s="593"/>
      <c r="K437" s="599" t="s">
        <v>298</v>
      </c>
      <c r="L437" s="600"/>
    </row>
    <row r="438" spans="2:12" ht="14.5" customHeight="1">
      <c r="B438" s="582" t="s">
        <v>297</v>
      </c>
      <c r="C438" s="583"/>
      <c r="D438" s="583"/>
      <c r="E438" s="583"/>
      <c r="F438" s="583"/>
      <c r="G438" s="583"/>
      <c r="H438" s="583"/>
      <c r="I438" s="583"/>
      <c r="J438" s="584"/>
      <c r="K438" s="190"/>
      <c r="L438" s="191">
        <f>'Aktuelle data'!G39*'Aktuelle data'!C37</f>
        <v>200.88217449999999</v>
      </c>
    </row>
    <row r="439" spans="2:12" ht="14.75" customHeight="1">
      <c r="B439" s="596"/>
      <c r="C439" s="597"/>
      <c r="D439" s="597"/>
      <c r="E439" s="597"/>
      <c r="F439" s="597"/>
      <c r="G439" s="597"/>
      <c r="H439" s="597"/>
      <c r="I439" s="597"/>
      <c r="J439" s="598"/>
      <c r="K439" s="580" t="s">
        <v>289</v>
      </c>
      <c r="L439" s="581"/>
    </row>
    <row r="440" spans="2:12">
      <c r="B440" s="582" t="s">
        <v>290</v>
      </c>
      <c r="C440" s="583"/>
      <c r="D440" s="583"/>
      <c r="E440" s="583"/>
      <c r="F440" s="583"/>
      <c r="G440" s="583"/>
      <c r="H440" s="583"/>
      <c r="I440" s="583"/>
      <c r="J440" s="584"/>
      <c r="K440" s="186"/>
      <c r="L440" s="192">
        <f>'Aktuelle data'!G40*'Aktuelle data'!C37</f>
        <v>456.918993</v>
      </c>
    </row>
    <row r="441" spans="2:12" ht="29.5" thickBot="1">
      <c r="B441" s="585"/>
      <c r="C441" s="586"/>
      <c r="D441" s="586"/>
      <c r="E441" s="586"/>
      <c r="F441" s="586"/>
      <c r="G441" s="586"/>
      <c r="H441" s="586"/>
      <c r="I441" s="586"/>
      <c r="J441" s="587"/>
      <c r="K441" s="165"/>
      <c r="L441" s="193" t="s">
        <v>289</v>
      </c>
    </row>
    <row r="443" spans="2:12" ht="30.75" customHeight="1">
      <c r="B443" s="534" t="s">
        <v>318</v>
      </c>
      <c r="C443" s="534"/>
      <c r="D443" s="534"/>
      <c r="E443" s="534"/>
      <c r="F443" s="534"/>
      <c r="G443" s="534"/>
      <c r="H443" s="534"/>
      <c r="I443" s="534"/>
      <c r="J443" s="534"/>
      <c r="K443" s="534"/>
      <c r="L443" s="534"/>
    </row>
    <row r="445" spans="2:12" ht="21">
      <c r="B445" s="535" t="s">
        <v>299</v>
      </c>
      <c r="C445" s="535"/>
      <c r="D445" s="535"/>
      <c r="E445" s="535"/>
      <c r="F445" s="535"/>
      <c r="G445" s="535"/>
      <c r="H445" s="535"/>
      <c r="I445" s="535"/>
      <c r="J445" s="535"/>
      <c r="K445" s="535"/>
      <c r="L445" s="535"/>
    </row>
    <row r="446" spans="2:12" ht="15" thickBot="1"/>
    <row r="447" spans="2:12">
      <c r="B447" s="330" t="s">
        <v>300</v>
      </c>
      <c r="C447" s="272">
        <f>'KOMMUNALE LØNNINGER PR. 1. okto'!B39</f>
        <v>3.73</v>
      </c>
      <c r="D447" s="265" t="s">
        <v>321</v>
      </c>
    </row>
    <row r="448" spans="2:12" ht="15" thickBot="1">
      <c r="B448" s="331" t="s">
        <v>301</v>
      </c>
      <c r="C448" s="273">
        <f>'KOMMUNALE LØNNINGER PR. 1. okto'!B40</f>
        <v>2.19</v>
      </c>
      <c r="D448" s="266" t="s">
        <v>321</v>
      </c>
    </row>
    <row r="450" spans="1:12" ht="21">
      <c r="A450" s="12"/>
      <c r="B450" s="333" t="s">
        <v>304</v>
      </c>
      <c r="C450" s="333"/>
    </row>
    <row r="451" spans="1:12" ht="15" thickBot="1"/>
    <row r="452" spans="1:12" s="12" customFormat="1" ht="33.25" customHeight="1">
      <c r="A452"/>
      <c r="B452" s="484" t="s">
        <v>21</v>
      </c>
      <c r="C452" s="485"/>
      <c r="D452" s="485" t="s">
        <v>307</v>
      </c>
      <c r="E452" s="485"/>
      <c r="F452" s="485"/>
      <c r="G452" s="500" t="s">
        <v>309</v>
      </c>
      <c r="H452" s="501"/>
      <c r="I452" s="502"/>
      <c r="J452" s="485" t="s">
        <v>308</v>
      </c>
      <c r="K452" s="485"/>
      <c r="L452" s="332" t="s">
        <v>25</v>
      </c>
    </row>
    <row r="453" spans="1:12">
      <c r="B453" s="486" t="s">
        <v>34</v>
      </c>
      <c r="C453" s="487"/>
      <c r="D453" s="487" t="s">
        <v>35</v>
      </c>
      <c r="E453" s="487"/>
      <c r="F453" s="487"/>
      <c r="G453" s="503">
        <f>'Aktuelle data'!AL5</f>
        <v>99</v>
      </c>
      <c r="H453" s="504"/>
      <c r="I453" s="505"/>
      <c r="J453" s="498">
        <f>'Aktuelle data'!AM5</f>
        <v>198</v>
      </c>
      <c r="K453" s="498"/>
      <c r="L453" s="195">
        <f>'Aktuelle data'!AN5</f>
        <v>297</v>
      </c>
    </row>
    <row r="454" spans="1:12">
      <c r="B454" s="196" t="s">
        <v>37</v>
      </c>
      <c r="C454" s="135"/>
      <c r="D454" s="487" t="s">
        <v>38</v>
      </c>
      <c r="E454" s="487"/>
      <c r="F454" s="487"/>
      <c r="G454" s="503">
        <f>'Aktuelle data'!AL6</f>
        <v>66</v>
      </c>
      <c r="H454" s="504"/>
      <c r="I454" s="505"/>
      <c r="J454" s="498">
        <f>'Aktuelle data'!AM6</f>
        <v>132</v>
      </c>
      <c r="K454" s="498"/>
      <c r="L454" s="195">
        <f>'Aktuelle data'!AN6</f>
        <v>198</v>
      </c>
    </row>
    <row r="455" spans="1:12">
      <c r="B455" s="486" t="s">
        <v>40</v>
      </c>
      <c r="C455" s="487"/>
      <c r="D455" s="487" t="s">
        <v>41</v>
      </c>
      <c r="E455" s="487"/>
      <c r="F455" s="487"/>
      <c r="G455" s="503">
        <f>'Aktuelle data'!AL7</f>
        <v>33</v>
      </c>
      <c r="H455" s="504"/>
      <c r="I455" s="505"/>
      <c r="J455" s="498">
        <f>'Aktuelle data'!AM7</f>
        <v>66</v>
      </c>
      <c r="K455" s="498"/>
      <c r="L455" s="195">
        <f>'Aktuelle data'!AN7</f>
        <v>99</v>
      </c>
    </row>
    <row r="456" spans="1:12" ht="15" thickBot="1">
      <c r="B456" s="197" t="s">
        <v>43</v>
      </c>
      <c r="C456" s="194"/>
      <c r="D456" s="497" t="s">
        <v>44</v>
      </c>
      <c r="E456" s="497"/>
      <c r="F456" s="497"/>
      <c r="G456" s="506">
        <f>'Aktuelle data'!AL8</f>
        <v>0</v>
      </c>
      <c r="H456" s="507"/>
      <c r="I456" s="508"/>
      <c r="J456" s="499">
        <f>'Aktuelle data'!AM8</f>
        <v>0</v>
      </c>
      <c r="K456" s="499"/>
      <c r="L456" s="198">
        <f>'Aktuelle data'!AN8</f>
        <v>0</v>
      </c>
    </row>
  </sheetData>
  <mergeCells count="517">
    <mergeCell ref="D150:E150"/>
    <mergeCell ref="F150:G150"/>
    <mergeCell ref="H150:I150"/>
    <mergeCell ref="C2:L2"/>
    <mergeCell ref="C60:L60"/>
    <mergeCell ref="C119:L119"/>
    <mergeCell ref="C118:L118"/>
    <mergeCell ref="D147:E147"/>
    <mergeCell ref="F147:G147"/>
    <mergeCell ref="H147:I147"/>
    <mergeCell ref="D148:E148"/>
    <mergeCell ref="F148:G148"/>
    <mergeCell ref="H148:I148"/>
    <mergeCell ref="D149:E149"/>
    <mergeCell ref="F149:G149"/>
    <mergeCell ref="H149:I149"/>
    <mergeCell ref="D144:E144"/>
    <mergeCell ref="F144:G144"/>
    <mergeCell ref="H144:I144"/>
    <mergeCell ref="D145:E145"/>
    <mergeCell ref="F145:G145"/>
    <mergeCell ref="H145:I145"/>
    <mergeCell ref="D146:E146"/>
    <mergeCell ref="F146:G146"/>
    <mergeCell ref="H146:I146"/>
    <mergeCell ref="D141:E141"/>
    <mergeCell ref="F141:G141"/>
    <mergeCell ref="H141:I141"/>
    <mergeCell ref="D142:E142"/>
    <mergeCell ref="F142:G142"/>
    <mergeCell ref="H142:I142"/>
    <mergeCell ref="D143:E143"/>
    <mergeCell ref="F143:G143"/>
    <mergeCell ref="H143:I143"/>
    <mergeCell ref="D138:E138"/>
    <mergeCell ref="F138:G138"/>
    <mergeCell ref="H138:I138"/>
    <mergeCell ref="D139:E139"/>
    <mergeCell ref="F139:G139"/>
    <mergeCell ref="H139:I139"/>
    <mergeCell ref="D140:E140"/>
    <mergeCell ref="F140:G140"/>
    <mergeCell ref="H140:I140"/>
    <mergeCell ref="D135:E135"/>
    <mergeCell ref="F135:G135"/>
    <mergeCell ref="H135:I135"/>
    <mergeCell ref="D136:E136"/>
    <mergeCell ref="F136:G136"/>
    <mergeCell ref="H136:I136"/>
    <mergeCell ref="D137:E137"/>
    <mergeCell ref="F137:G137"/>
    <mergeCell ref="H137:I137"/>
    <mergeCell ref="D132:E132"/>
    <mergeCell ref="F132:G132"/>
    <mergeCell ref="H132:I132"/>
    <mergeCell ref="D133:E133"/>
    <mergeCell ref="F133:G133"/>
    <mergeCell ref="H133:I133"/>
    <mergeCell ref="D134:E134"/>
    <mergeCell ref="F134:G134"/>
    <mergeCell ref="H134:I134"/>
    <mergeCell ref="D129:E129"/>
    <mergeCell ref="F129:G129"/>
    <mergeCell ref="H129:I129"/>
    <mergeCell ref="D130:E130"/>
    <mergeCell ref="F130:G130"/>
    <mergeCell ref="H130:I130"/>
    <mergeCell ref="D131:E131"/>
    <mergeCell ref="F131:G131"/>
    <mergeCell ref="H131:I131"/>
    <mergeCell ref="D126:E126"/>
    <mergeCell ref="F126:G126"/>
    <mergeCell ref="H126:I126"/>
    <mergeCell ref="D127:E127"/>
    <mergeCell ref="F127:G127"/>
    <mergeCell ref="H127:I127"/>
    <mergeCell ref="D128:E128"/>
    <mergeCell ref="F128:G128"/>
    <mergeCell ref="H128:I128"/>
    <mergeCell ref="H122:I122"/>
    <mergeCell ref="D123:E123"/>
    <mergeCell ref="F123:G123"/>
    <mergeCell ref="H123:I123"/>
    <mergeCell ref="D124:E124"/>
    <mergeCell ref="F124:G124"/>
    <mergeCell ref="H124:I124"/>
    <mergeCell ref="D125:E125"/>
    <mergeCell ref="F125:G125"/>
    <mergeCell ref="H125:I125"/>
    <mergeCell ref="F63:G63"/>
    <mergeCell ref="F64:G64"/>
    <mergeCell ref="F65:G65"/>
    <mergeCell ref="F66:G66"/>
    <mergeCell ref="D122:E122"/>
    <mergeCell ref="F122:G122"/>
    <mergeCell ref="F90:G90"/>
    <mergeCell ref="F91:G91"/>
    <mergeCell ref="F86:G86"/>
    <mergeCell ref="F87:G87"/>
    <mergeCell ref="F88:G88"/>
    <mergeCell ref="F89:G89"/>
    <mergeCell ref="D63:E63"/>
    <mergeCell ref="D64:E64"/>
    <mergeCell ref="D65:E65"/>
    <mergeCell ref="D66:E66"/>
    <mergeCell ref="D67:E67"/>
    <mergeCell ref="D68:E68"/>
    <mergeCell ref="D69:E69"/>
    <mergeCell ref="D70:E70"/>
    <mergeCell ref="D71:E71"/>
    <mergeCell ref="F85:G85"/>
    <mergeCell ref="D72:E72"/>
    <mergeCell ref="D73:E73"/>
    <mergeCell ref="D79:E79"/>
    <mergeCell ref="D80:E80"/>
    <mergeCell ref="D85:E85"/>
    <mergeCell ref="F79:G79"/>
    <mergeCell ref="F80:G80"/>
    <mergeCell ref="D81:E81"/>
    <mergeCell ref="D82:E82"/>
    <mergeCell ref="D83:E83"/>
    <mergeCell ref="D84:E84"/>
    <mergeCell ref="F81:G81"/>
    <mergeCell ref="F82:G82"/>
    <mergeCell ref="F83:G83"/>
    <mergeCell ref="F84:G84"/>
    <mergeCell ref="F71:G71"/>
    <mergeCell ref="H75:I75"/>
    <mergeCell ref="D74:E74"/>
    <mergeCell ref="D75:E75"/>
    <mergeCell ref="D76:E76"/>
    <mergeCell ref="F75:G75"/>
    <mergeCell ref="F76:G76"/>
    <mergeCell ref="D77:E77"/>
    <mergeCell ref="D78:E78"/>
    <mergeCell ref="F77:G77"/>
    <mergeCell ref="F78:G78"/>
    <mergeCell ref="H79:I79"/>
    <mergeCell ref="H80:I80"/>
    <mergeCell ref="F72:G72"/>
    <mergeCell ref="F73:G73"/>
    <mergeCell ref="F74:G74"/>
    <mergeCell ref="H81:I81"/>
    <mergeCell ref="H82:I82"/>
    <mergeCell ref="H83:I83"/>
    <mergeCell ref="H66:I66"/>
    <mergeCell ref="H67:I67"/>
    <mergeCell ref="H68:I68"/>
    <mergeCell ref="H69:I69"/>
    <mergeCell ref="H70:I70"/>
    <mergeCell ref="H71:I71"/>
    <mergeCell ref="H72:I72"/>
    <mergeCell ref="H73:I73"/>
    <mergeCell ref="H74:I74"/>
    <mergeCell ref="H76:I76"/>
    <mergeCell ref="H77:I77"/>
    <mergeCell ref="H78:I78"/>
    <mergeCell ref="F67:G67"/>
    <mergeCell ref="F68:G68"/>
    <mergeCell ref="F69:G69"/>
    <mergeCell ref="F70:G70"/>
    <mergeCell ref="H28:I28"/>
    <mergeCell ref="H29:I29"/>
    <mergeCell ref="H30:I30"/>
    <mergeCell ref="H31:I31"/>
    <mergeCell ref="H32:I32"/>
    <mergeCell ref="H33:I33"/>
    <mergeCell ref="H63:I63"/>
    <mergeCell ref="H64:I64"/>
    <mergeCell ref="H65:I65"/>
    <mergeCell ref="F33:G33"/>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F24:G24"/>
    <mergeCell ref="F25:G25"/>
    <mergeCell ref="F26:G26"/>
    <mergeCell ref="F27:G27"/>
    <mergeCell ref="F28:G28"/>
    <mergeCell ref="F29:G29"/>
    <mergeCell ref="F30:G30"/>
    <mergeCell ref="F31:G31"/>
    <mergeCell ref="F32:G32"/>
    <mergeCell ref="F14:G14"/>
    <mergeCell ref="F15:G15"/>
    <mergeCell ref="F16:G16"/>
    <mergeCell ref="F17:G17"/>
    <mergeCell ref="F18:G18"/>
    <mergeCell ref="F19:G19"/>
    <mergeCell ref="F20:G20"/>
    <mergeCell ref="F21:G21"/>
    <mergeCell ref="F22:G22"/>
    <mergeCell ref="F5:G5"/>
    <mergeCell ref="F6:G6"/>
    <mergeCell ref="F7:G7"/>
    <mergeCell ref="F8:G8"/>
    <mergeCell ref="F9:G9"/>
    <mergeCell ref="F10:G10"/>
    <mergeCell ref="F11:G11"/>
    <mergeCell ref="F12:G12"/>
    <mergeCell ref="F13:G13"/>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J31:K31"/>
    <mergeCell ref="J32:K32"/>
    <mergeCell ref="J33:K33"/>
    <mergeCell ref="J22:K22"/>
    <mergeCell ref="J23:K23"/>
    <mergeCell ref="J24:K24"/>
    <mergeCell ref="J25:K25"/>
    <mergeCell ref="J26:K26"/>
    <mergeCell ref="J27:K27"/>
    <mergeCell ref="J28:K28"/>
    <mergeCell ref="J29:K29"/>
    <mergeCell ref="J30:K30"/>
    <mergeCell ref="D25:E25"/>
    <mergeCell ref="D26:E26"/>
    <mergeCell ref="D27:E27"/>
    <mergeCell ref="D28:E28"/>
    <mergeCell ref="D29:E29"/>
    <mergeCell ref="D30:E30"/>
    <mergeCell ref="D31:E31"/>
    <mergeCell ref="D32:E32"/>
    <mergeCell ref="D33:E33"/>
    <mergeCell ref="F23:G23"/>
    <mergeCell ref="J149:K149"/>
    <mergeCell ref="J150:K15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140:K140"/>
    <mergeCell ref="J141:K141"/>
    <mergeCell ref="J142:K142"/>
    <mergeCell ref="J143:K143"/>
    <mergeCell ref="J144:K144"/>
    <mergeCell ref="J145:K145"/>
    <mergeCell ref="J146:K146"/>
    <mergeCell ref="J147:K147"/>
    <mergeCell ref="J148:K148"/>
    <mergeCell ref="J131:K131"/>
    <mergeCell ref="J132:K132"/>
    <mergeCell ref="J133:K133"/>
    <mergeCell ref="J134:K134"/>
    <mergeCell ref="J135:K135"/>
    <mergeCell ref="J136:K136"/>
    <mergeCell ref="J137:K137"/>
    <mergeCell ref="J138:K138"/>
    <mergeCell ref="J139:K139"/>
    <mergeCell ref="J122:K122"/>
    <mergeCell ref="J123:K123"/>
    <mergeCell ref="J124:K124"/>
    <mergeCell ref="J125:K125"/>
    <mergeCell ref="J126:K126"/>
    <mergeCell ref="J127:K127"/>
    <mergeCell ref="J128:K128"/>
    <mergeCell ref="J129:K129"/>
    <mergeCell ref="J130:K130"/>
    <mergeCell ref="J84:K84"/>
    <mergeCell ref="J85:K85"/>
    <mergeCell ref="J86:K86"/>
    <mergeCell ref="J87:K87"/>
    <mergeCell ref="J88:K88"/>
    <mergeCell ref="J89:K89"/>
    <mergeCell ref="J90:K90"/>
    <mergeCell ref="J91:K91"/>
    <mergeCell ref="J121:K121"/>
    <mergeCell ref="B94:J94"/>
    <mergeCell ref="H84:I84"/>
    <mergeCell ref="H85:I85"/>
    <mergeCell ref="H86:I86"/>
    <mergeCell ref="H87:I87"/>
    <mergeCell ref="H88:I88"/>
    <mergeCell ref="H89:I89"/>
    <mergeCell ref="H90:I90"/>
    <mergeCell ref="H91:I91"/>
    <mergeCell ref="D86:E86"/>
    <mergeCell ref="D87:E87"/>
    <mergeCell ref="D88:E88"/>
    <mergeCell ref="D89:E89"/>
    <mergeCell ref="D90:E90"/>
    <mergeCell ref="D91:E91"/>
    <mergeCell ref="J75:K75"/>
    <mergeCell ref="J76:K76"/>
    <mergeCell ref="J77:K77"/>
    <mergeCell ref="J78:K78"/>
    <mergeCell ref="J79:K79"/>
    <mergeCell ref="J80:K80"/>
    <mergeCell ref="J81:K81"/>
    <mergeCell ref="J82:K82"/>
    <mergeCell ref="J83:K83"/>
    <mergeCell ref="J66:K66"/>
    <mergeCell ref="J67:K67"/>
    <mergeCell ref="J68:K68"/>
    <mergeCell ref="J69:K69"/>
    <mergeCell ref="J70:K70"/>
    <mergeCell ref="J71:K71"/>
    <mergeCell ref="J72:K72"/>
    <mergeCell ref="J73:K73"/>
    <mergeCell ref="J74:K74"/>
    <mergeCell ref="E334:F334"/>
    <mergeCell ref="G334:H334"/>
    <mergeCell ref="I334:J334"/>
    <mergeCell ref="K439:L439"/>
    <mergeCell ref="B440:J441"/>
    <mergeCell ref="B431:J431"/>
    <mergeCell ref="K431:L431"/>
    <mergeCell ref="B432:J434"/>
    <mergeCell ref="K432:L432"/>
    <mergeCell ref="K433:L433"/>
    <mergeCell ref="K434:L434"/>
    <mergeCell ref="B435:J435"/>
    <mergeCell ref="B436:J437"/>
    <mergeCell ref="B438:J439"/>
    <mergeCell ref="K437:L437"/>
    <mergeCell ref="B388:L388"/>
    <mergeCell ref="B429:H429"/>
    <mergeCell ref="B382:L382"/>
    <mergeCell ref="C333:I333"/>
    <mergeCell ref="E184:G184"/>
    <mergeCell ref="E185:G185"/>
    <mergeCell ref="E187:G187"/>
    <mergeCell ref="E188:G188"/>
    <mergeCell ref="E190:G190"/>
    <mergeCell ref="E196:G196"/>
    <mergeCell ref="B329:K329"/>
    <mergeCell ref="B331:L331"/>
    <mergeCell ref="C312:D312"/>
    <mergeCell ref="C310:D310"/>
    <mergeCell ref="C311:D311"/>
    <mergeCell ref="B306:M306"/>
    <mergeCell ref="B302:M302"/>
    <mergeCell ref="H295:J295"/>
    <mergeCell ref="H296:J296"/>
    <mergeCell ref="B299:C299"/>
    <mergeCell ref="B286:M286"/>
    <mergeCell ref="B236:M236"/>
    <mergeCell ref="B291:M291"/>
    <mergeCell ref="B292:M292"/>
    <mergeCell ref="I239:J239"/>
    <mergeCell ref="C238:H238"/>
    <mergeCell ref="B308:M308"/>
    <mergeCell ref="B443:L443"/>
    <mergeCell ref="B445:L445"/>
    <mergeCell ref="B233:K233"/>
    <mergeCell ref="B234:K234"/>
    <mergeCell ref="D453:F453"/>
    <mergeCell ref="E210:G210"/>
    <mergeCell ref="E211:G211"/>
    <mergeCell ref="E212:G212"/>
    <mergeCell ref="E213:G213"/>
    <mergeCell ref="E214:G214"/>
    <mergeCell ref="K210:L210"/>
    <mergeCell ref="K211:L211"/>
    <mergeCell ref="K212:L212"/>
    <mergeCell ref="C401:D401"/>
    <mergeCell ref="C402:D402"/>
    <mergeCell ref="B397:M397"/>
    <mergeCell ref="B396:K396"/>
    <mergeCell ref="B399:L399"/>
    <mergeCell ref="B392:C392"/>
    <mergeCell ref="B394:L394"/>
    <mergeCell ref="B385:E385"/>
    <mergeCell ref="B386:J386"/>
    <mergeCell ref="B389:C389"/>
    <mergeCell ref="B384:I384"/>
    <mergeCell ref="G239:H239"/>
    <mergeCell ref="B36:J36"/>
    <mergeCell ref="B37:J37"/>
    <mergeCell ref="B38:J38"/>
    <mergeCell ref="B95:J95"/>
    <mergeCell ref="B96:J96"/>
    <mergeCell ref="B175:L175"/>
    <mergeCell ref="B177:C177"/>
    <mergeCell ref="B294:M294"/>
    <mergeCell ref="J62:K62"/>
    <mergeCell ref="J63:K63"/>
    <mergeCell ref="J64:K64"/>
    <mergeCell ref="J65:K65"/>
    <mergeCell ref="K191:L191"/>
    <mergeCell ref="K192:L192"/>
    <mergeCell ref="K193:L193"/>
    <mergeCell ref="K194:L194"/>
    <mergeCell ref="E191:G191"/>
    <mergeCell ref="E192:G192"/>
    <mergeCell ref="E193:G193"/>
    <mergeCell ref="E194:G194"/>
    <mergeCell ref="E195:G195"/>
    <mergeCell ref="E183:G183"/>
    <mergeCell ref="K195:L195"/>
    <mergeCell ref="L295:M295"/>
    <mergeCell ref="B298:C298"/>
    <mergeCell ref="B295:C295"/>
    <mergeCell ref="B296:C296"/>
    <mergeCell ref="B297:C297"/>
    <mergeCell ref="D295:F295"/>
    <mergeCell ref="B153:J153"/>
    <mergeCell ref="B304:F304"/>
    <mergeCell ref="B305:L305"/>
    <mergeCell ref="B155:J155"/>
    <mergeCell ref="B154:J154"/>
    <mergeCell ref="E180:G180"/>
    <mergeCell ref="E181:G181"/>
    <mergeCell ref="E182:G182"/>
    <mergeCell ref="E177:H177"/>
    <mergeCell ref="E178:G178"/>
    <mergeCell ref="E179:G179"/>
    <mergeCell ref="K198:L198"/>
    <mergeCell ref="E198:H198"/>
    <mergeCell ref="K186:L186"/>
    <mergeCell ref="K187:L187"/>
    <mergeCell ref="K188:L188"/>
    <mergeCell ref="K189:L189"/>
    <mergeCell ref="K190:L190"/>
    <mergeCell ref="D456:F456"/>
    <mergeCell ref="J452:K452"/>
    <mergeCell ref="J453:K453"/>
    <mergeCell ref="J454:K454"/>
    <mergeCell ref="J455:K455"/>
    <mergeCell ref="J456:K456"/>
    <mergeCell ref="G452:I452"/>
    <mergeCell ref="G453:I453"/>
    <mergeCell ref="G454:I454"/>
    <mergeCell ref="G455:I455"/>
    <mergeCell ref="G456:I456"/>
    <mergeCell ref="D454:F454"/>
    <mergeCell ref="D455:F455"/>
    <mergeCell ref="B452:C452"/>
    <mergeCell ref="B453:C453"/>
    <mergeCell ref="B455:C455"/>
    <mergeCell ref="D452:F452"/>
    <mergeCell ref="K177:L177"/>
    <mergeCell ref="K178:L178"/>
    <mergeCell ref="K179:L179"/>
    <mergeCell ref="K180:L180"/>
    <mergeCell ref="K181:L181"/>
    <mergeCell ref="K182:L182"/>
    <mergeCell ref="K183:L183"/>
    <mergeCell ref="K199:L199"/>
    <mergeCell ref="E199:G199"/>
    <mergeCell ref="E200:G200"/>
    <mergeCell ref="E189:G189"/>
    <mergeCell ref="E209:G209"/>
    <mergeCell ref="K201:M201"/>
    <mergeCell ref="K202:L202"/>
    <mergeCell ref="K203:L203"/>
    <mergeCell ref="K204:L204"/>
    <mergeCell ref="K205:L205"/>
    <mergeCell ref="K206:L206"/>
    <mergeCell ref="K184:L184"/>
    <mergeCell ref="K185:L185"/>
    <mergeCell ref="K196:L196"/>
    <mergeCell ref="K197:L197"/>
    <mergeCell ref="K207:L207"/>
    <mergeCell ref="K208:L208"/>
    <mergeCell ref="K209:L209"/>
    <mergeCell ref="E186:G186"/>
    <mergeCell ref="E201:G201"/>
    <mergeCell ref="E202:G202"/>
    <mergeCell ref="E203:G203"/>
    <mergeCell ref="E204:G204"/>
    <mergeCell ref="E205:G205"/>
    <mergeCell ref="E206:G206"/>
    <mergeCell ref="E207:G207"/>
    <mergeCell ref="E208:G208"/>
  </mergeCells>
  <pageMargins left="0.70866141732283472" right="0.70866141732283472" top="0.74803149606299213" bottom="0.74803149606299213" header="0.31496062992125984" footer="0.31496062992125984"/>
  <pageSetup paperSize="9" scale="83" fitToHeight="0" orientation="portrait" r:id="rId1"/>
  <headerFooter>
    <oddHeader xml:space="preserve">&amp;L&amp;"-,Fed"&amp;16&amp;K003FC2Løntabel&amp;R&amp;"-,Fed"&amp;16&amp;K003FC2 1. april 2024
</oddHeader>
    <oddFooter>&amp;L&amp;K003FC2Meld dig ind i MM på
www.musikerogmusikunderviser.dk &amp;R&amp;K003FC2MM tager forbehold for evt. fejl
 i denne løntabel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24" workbookViewId="0">
      <selection activeCell="G40" sqref="G40"/>
    </sheetView>
  </sheetViews>
  <sheetFormatPr defaultColWidth="8.81640625" defaultRowHeight="14.5"/>
  <cols>
    <col min="1" max="1" width="41.36328125" bestFit="1" customWidth="1"/>
    <col min="2" max="2" width="14.36328125" bestFit="1" customWidth="1"/>
    <col min="3" max="6" width="10" bestFit="1" customWidth="1"/>
    <col min="7" max="7" width="9.81640625" customWidth="1"/>
    <col min="8" max="8" width="8.81640625" bestFit="1" customWidth="1"/>
    <col min="9" max="13" width="10" bestFit="1" customWidth="1"/>
    <col min="14" max="14" width="9.81640625" customWidth="1"/>
    <col min="15" max="16" width="10" bestFit="1" customWidth="1"/>
    <col min="17" max="17" width="13" customWidth="1"/>
    <col min="18" max="22" width="10" bestFit="1" customWidth="1"/>
    <col min="23" max="23" width="9.453125" bestFit="1" customWidth="1"/>
    <col min="24" max="24" width="8.81640625" bestFit="1" customWidth="1"/>
    <col min="25" max="26" width="9.453125" bestFit="1" customWidth="1"/>
    <col min="27" max="29" width="8.81640625" bestFit="1" customWidth="1"/>
    <col min="30" max="30" width="9.453125" bestFit="1" customWidth="1"/>
    <col min="31" max="31" width="8.81640625" bestFit="1" customWidth="1"/>
    <col min="32" max="33" width="9.453125" bestFit="1" customWidth="1"/>
    <col min="36" max="36" width="21.453125" bestFit="1" customWidth="1"/>
    <col min="37" max="37" width="15.81640625" bestFit="1" customWidth="1"/>
    <col min="38" max="38" width="17.81640625" bestFit="1" customWidth="1"/>
    <col min="39" max="39" width="17.453125" bestFit="1" customWidth="1"/>
    <col min="40" max="40" width="15.1796875" bestFit="1" customWidth="1"/>
    <col min="41" max="42" width="8.81640625" bestFit="1" customWidth="1"/>
    <col min="43" max="44" width="9.453125" bestFit="1" customWidth="1"/>
  </cols>
  <sheetData>
    <row r="1" spans="1:44" ht="56.5" customHeight="1">
      <c r="A1" s="233" t="s">
        <v>182</v>
      </c>
      <c r="B1" s="233"/>
      <c r="C1" s="233"/>
      <c r="D1" s="233"/>
      <c r="E1" s="233"/>
      <c r="F1" s="233"/>
      <c r="G1" s="233"/>
      <c r="H1" s="233"/>
      <c r="I1" s="233"/>
      <c r="J1" s="233"/>
      <c r="K1" s="233"/>
      <c r="L1" s="233"/>
      <c r="M1" s="234"/>
      <c r="N1" s="234"/>
      <c r="O1" s="234"/>
      <c r="P1" s="234"/>
      <c r="Q1" s="235" t="s">
        <v>0</v>
      </c>
      <c r="R1" s="3"/>
      <c r="S1" s="3"/>
    </row>
    <row r="2" spans="1:44" ht="18.5">
      <c r="A2" s="624" t="s">
        <v>201</v>
      </c>
      <c r="B2" s="624"/>
      <c r="C2" s="624"/>
      <c r="D2" s="233"/>
      <c r="E2" s="233"/>
      <c r="F2" s="233"/>
      <c r="G2" s="233"/>
      <c r="H2" s="233"/>
      <c r="I2" s="233"/>
      <c r="J2" s="233"/>
      <c r="K2" s="233"/>
      <c r="L2" s="233"/>
      <c r="M2" s="234"/>
      <c r="N2" s="234"/>
      <c r="O2" s="234"/>
      <c r="P2" s="234"/>
      <c r="Q2" s="235"/>
      <c r="R2" s="3"/>
      <c r="S2" s="3"/>
    </row>
    <row r="3" spans="1:44" ht="16" thickBot="1">
      <c r="A3" s="234" t="s">
        <v>1</v>
      </c>
      <c r="B3" s="234"/>
      <c r="C3" s="3"/>
      <c r="D3" s="234"/>
      <c r="E3" s="234"/>
      <c r="F3" s="234"/>
      <c r="G3" s="234"/>
      <c r="H3" s="234"/>
      <c r="I3" s="234"/>
      <c r="J3" s="234"/>
      <c r="K3" s="234"/>
      <c r="L3" s="234"/>
      <c r="M3" s="234"/>
      <c r="N3" s="234"/>
      <c r="O3" s="234"/>
      <c r="P3" s="234"/>
      <c r="Q3" s="234"/>
      <c r="R3" s="3"/>
      <c r="S3" s="3"/>
    </row>
    <row r="4" spans="1:44" ht="15.5">
      <c r="A4" s="236" t="s">
        <v>2</v>
      </c>
      <c r="B4" s="626" t="s">
        <v>3</v>
      </c>
      <c r="C4" s="626"/>
      <c r="D4" s="626"/>
      <c r="E4" s="626"/>
      <c r="F4" s="626"/>
      <c r="G4" s="237"/>
      <c r="H4" s="236" t="s">
        <v>2</v>
      </c>
      <c r="I4" s="619" t="s">
        <v>4</v>
      </c>
      <c r="J4" s="620"/>
      <c r="K4" s="620"/>
      <c r="L4" s="620"/>
      <c r="M4" s="625"/>
      <c r="N4" s="238"/>
      <c r="O4" s="236" t="s">
        <v>2</v>
      </c>
      <c r="P4" s="619" t="s">
        <v>5</v>
      </c>
      <c r="Q4" s="620"/>
      <c r="R4" s="620"/>
      <c r="S4" s="620"/>
      <c r="T4" s="621"/>
      <c r="V4" t="s">
        <v>256</v>
      </c>
      <c r="AC4" s="617" t="s">
        <v>275</v>
      </c>
      <c r="AD4" s="617"/>
      <c r="AE4" s="617"/>
      <c r="AJ4" s="295" t="s">
        <v>21</v>
      </c>
      <c r="AK4" s="296" t="s">
        <v>22</v>
      </c>
      <c r="AL4" s="296" t="s">
        <v>23</v>
      </c>
      <c r="AM4" s="296" t="s">
        <v>24</v>
      </c>
      <c r="AN4" s="297" t="s">
        <v>306</v>
      </c>
    </row>
    <row r="5" spans="1:44" ht="15.5">
      <c r="A5" s="239" t="s">
        <v>6</v>
      </c>
      <c r="B5" s="626" t="s">
        <v>7</v>
      </c>
      <c r="C5" s="626"/>
      <c r="D5" s="626"/>
      <c r="E5" s="626"/>
      <c r="F5" s="626"/>
      <c r="G5" s="237"/>
      <c r="H5" s="239" t="s">
        <v>6</v>
      </c>
      <c r="I5" s="619" t="s">
        <v>7</v>
      </c>
      <c r="J5" s="620"/>
      <c r="K5" s="620"/>
      <c r="L5" s="620"/>
      <c r="M5" s="625"/>
      <c r="N5" s="238"/>
      <c r="O5" s="239" t="s">
        <v>6</v>
      </c>
      <c r="P5" s="619" t="s">
        <v>7</v>
      </c>
      <c r="Q5" s="620"/>
      <c r="R5" s="620"/>
      <c r="S5" s="620"/>
      <c r="T5" s="621"/>
      <c r="AJ5" s="298" t="s">
        <v>34</v>
      </c>
      <c r="AK5" s="291" t="s">
        <v>35</v>
      </c>
      <c r="AL5" s="292">
        <v>99</v>
      </c>
      <c r="AM5" s="292">
        <v>198</v>
      </c>
      <c r="AN5" s="299">
        <f>AL5+AM5</f>
        <v>297</v>
      </c>
    </row>
    <row r="6" spans="1:44" ht="58">
      <c r="A6" s="240"/>
      <c r="B6" s="241">
        <v>0</v>
      </c>
      <c r="C6" s="242">
        <v>1</v>
      </c>
      <c r="D6" s="242">
        <v>2</v>
      </c>
      <c r="E6" s="242">
        <v>3</v>
      </c>
      <c r="F6" s="242">
        <v>4</v>
      </c>
      <c r="G6" s="243"/>
      <c r="H6" s="244"/>
      <c r="I6" s="242">
        <v>0</v>
      </c>
      <c r="J6" s="242">
        <v>1</v>
      </c>
      <c r="K6" s="242">
        <v>2</v>
      </c>
      <c r="L6" s="242">
        <v>3</v>
      </c>
      <c r="M6" s="242">
        <v>4</v>
      </c>
      <c r="N6" s="243"/>
      <c r="O6" s="244"/>
      <c r="P6" s="241">
        <v>0</v>
      </c>
      <c r="Q6" s="242">
        <v>1</v>
      </c>
      <c r="R6" s="242">
        <v>2</v>
      </c>
      <c r="S6" s="242">
        <v>3</v>
      </c>
      <c r="T6" s="242">
        <v>4</v>
      </c>
      <c r="V6" s="142" t="s">
        <v>255</v>
      </c>
      <c r="W6" s="142" t="s">
        <v>251</v>
      </c>
      <c r="X6" s="142" t="s">
        <v>252</v>
      </c>
      <c r="Y6" s="142" t="s">
        <v>253</v>
      </c>
      <c r="Z6" s="142" t="s">
        <v>254</v>
      </c>
      <c r="AC6" s="142" t="s">
        <v>271</v>
      </c>
      <c r="AD6" s="142" t="s">
        <v>251</v>
      </c>
      <c r="AE6" s="142" t="s">
        <v>252</v>
      </c>
      <c r="AF6" s="142" t="s">
        <v>253</v>
      </c>
      <c r="AG6" s="261" t="s">
        <v>254</v>
      </c>
      <c r="AJ6" s="298" t="s">
        <v>336</v>
      </c>
      <c r="AK6" s="291" t="s">
        <v>38</v>
      </c>
      <c r="AL6" s="292">
        <v>66</v>
      </c>
      <c r="AM6" s="292">
        <v>132</v>
      </c>
      <c r="AN6" s="299">
        <f t="shared" ref="AN6:AN8" si="0">AL6+AM6</f>
        <v>198</v>
      </c>
    </row>
    <row r="7" spans="1:44" ht="15.5">
      <c r="A7" s="245">
        <v>28</v>
      </c>
      <c r="B7" s="275">
        <v>358756</v>
      </c>
      <c r="C7" s="276">
        <v>363162</v>
      </c>
      <c r="D7" s="276">
        <v>366212</v>
      </c>
      <c r="E7" s="276">
        <v>370618</v>
      </c>
      <c r="F7" s="277">
        <v>373666</v>
      </c>
      <c r="G7" s="247"/>
      <c r="H7" s="248">
        <v>28</v>
      </c>
      <c r="I7" s="281">
        <v>29896.333333333332</v>
      </c>
      <c r="J7" s="282">
        <v>30263.5</v>
      </c>
      <c r="K7" s="282">
        <v>30517.666666666668</v>
      </c>
      <c r="L7" s="282">
        <v>30884.833333333332</v>
      </c>
      <c r="M7" s="282">
        <v>31138.833333333332</v>
      </c>
      <c r="N7" s="250"/>
      <c r="O7" s="248">
        <v>28</v>
      </c>
      <c r="P7" s="285">
        <v>358756</v>
      </c>
      <c r="Q7" s="286">
        <v>363162</v>
      </c>
      <c r="R7" s="286">
        <v>366212</v>
      </c>
      <c r="S7" s="286">
        <v>370618</v>
      </c>
      <c r="T7" s="287">
        <v>373666</v>
      </c>
      <c r="U7" s="251">
        <f>C37</f>
        <v>1.57765</v>
      </c>
      <c r="V7" s="205">
        <v>1000</v>
      </c>
      <c r="W7" s="262">
        <f>V7*U7</f>
        <v>1577.65</v>
      </c>
      <c r="X7" s="262">
        <f>W7/12</f>
        <v>131.47083333333333</v>
      </c>
      <c r="Y7" s="262">
        <f>W7*AA7/100</f>
        <v>262.04766499999999</v>
      </c>
      <c r="Z7" s="262">
        <f>W7+Y7</f>
        <v>1839.6976650000001</v>
      </c>
      <c r="AA7" s="3">
        <f>C38</f>
        <v>16.61</v>
      </c>
      <c r="AB7" s="249">
        <f>C39</f>
        <v>17.09</v>
      </c>
      <c r="AC7" s="205">
        <v>1000</v>
      </c>
      <c r="AD7" s="262">
        <f>AC7*U7</f>
        <v>1577.65</v>
      </c>
      <c r="AE7" s="262">
        <f>AD7/12</f>
        <v>131.47083333333333</v>
      </c>
      <c r="AF7" s="262">
        <f>AD7*AB7/100</f>
        <v>269.620385</v>
      </c>
      <c r="AG7" s="262">
        <f>AD7+AF7</f>
        <v>1847.270385</v>
      </c>
      <c r="AH7" s="246"/>
      <c r="AI7" s="246"/>
      <c r="AJ7" s="300" t="s">
        <v>335</v>
      </c>
      <c r="AK7" s="293" t="s">
        <v>337</v>
      </c>
      <c r="AL7" s="294">
        <v>33</v>
      </c>
      <c r="AM7" s="294">
        <v>66</v>
      </c>
      <c r="AN7" s="299">
        <f t="shared" si="0"/>
        <v>99</v>
      </c>
      <c r="AO7" s="246"/>
      <c r="AP7" s="246"/>
      <c r="AQ7" s="246"/>
      <c r="AR7" s="246"/>
    </row>
    <row r="8" spans="1:44" ht="16" thickBot="1">
      <c r="A8" s="245">
        <v>29</v>
      </c>
      <c r="B8" s="275">
        <v>364738</v>
      </c>
      <c r="C8" s="276">
        <v>368936</v>
      </c>
      <c r="D8" s="276">
        <v>371841</v>
      </c>
      <c r="E8" s="276">
        <v>376037</v>
      </c>
      <c r="F8" s="277">
        <v>378943</v>
      </c>
      <c r="G8" s="247"/>
      <c r="H8" s="248">
        <v>29</v>
      </c>
      <c r="I8" s="281">
        <v>30394.833333333332</v>
      </c>
      <c r="J8" s="282">
        <v>30744.666666666668</v>
      </c>
      <c r="K8" s="282">
        <v>30986.75</v>
      </c>
      <c r="L8" s="282">
        <v>31336.416666666668</v>
      </c>
      <c r="M8" s="282">
        <v>31578.583333333332</v>
      </c>
      <c r="N8" s="250"/>
      <c r="O8" s="248">
        <v>29</v>
      </c>
      <c r="P8" s="285">
        <v>364738</v>
      </c>
      <c r="Q8" s="286">
        <v>368936</v>
      </c>
      <c r="R8" s="286">
        <v>371841</v>
      </c>
      <c r="S8" s="286">
        <v>376037</v>
      </c>
      <c r="T8" s="287">
        <v>378943</v>
      </c>
      <c r="U8" s="252">
        <f>C37</f>
        <v>1.57765</v>
      </c>
      <c r="V8" s="211">
        <v>1500</v>
      </c>
      <c r="W8" s="262">
        <f t="shared" ref="W8:W27" si="1">V8*U8</f>
        <v>2366.4749999999999</v>
      </c>
      <c r="X8" s="262">
        <f t="shared" ref="X8:X27" si="2">W8/12</f>
        <v>197.20624999999998</v>
      </c>
      <c r="Y8" s="262">
        <f t="shared" ref="Y8:Y27" si="3">W8*AA8/100</f>
        <v>393.07149749999996</v>
      </c>
      <c r="Z8" s="262">
        <f t="shared" ref="Z8:Z27" si="4">W8+Y8</f>
        <v>2759.5464975</v>
      </c>
      <c r="AA8" s="3">
        <f>C38</f>
        <v>16.61</v>
      </c>
      <c r="AB8" s="249">
        <f>C39</f>
        <v>17.09</v>
      </c>
      <c r="AC8" s="211">
        <v>1500</v>
      </c>
      <c r="AD8" s="262">
        <f t="shared" ref="AD8:AD27" si="5">AC8*U8</f>
        <v>2366.4749999999999</v>
      </c>
      <c r="AE8" s="262">
        <f t="shared" ref="AE8:AE27" si="6">AD8/12</f>
        <v>197.20624999999998</v>
      </c>
      <c r="AF8" s="262">
        <f t="shared" ref="AF8:AF27" si="7">AD8*AB8/100</f>
        <v>404.43057750000003</v>
      </c>
      <c r="AG8" s="262">
        <f t="shared" ref="AG8:AG26" si="8">AD8+AF8</f>
        <v>2770.9055774999997</v>
      </c>
      <c r="AH8" s="246"/>
      <c r="AI8" s="246"/>
      <c r="AJ8" s="301" t="s">
        <v>334</v>
      </c>
      <c r="AK8" s="302" t="s">
        <v>44</v>
      </c>
      <c r="AL8" s="303">
        <v>0</v>
      </c>
      <c r="AM8" s="303">
        <v>0</v>
      </c>
      <c r="AN8" s="304">
        <f t="shared" si="0"/>
        <v>0</v>
      </c>
      <c r="AO8" s="246"/>
      <c r="AP8" s="246"/>
      <c r="AQ8" s="246"/>
      <c r="AR8" s="246"/>
    </row>
    <row r="9" spans="1:44" ht="15.5">
      <c r="A9" s="253">
        <v>30</v>
      </c>
      <c r="B9" s="278">
        <v>370850</v>
      </c>
      <c r="C9" s="279">
        <v>374824</v>
      </c>
      <c r="D9" s="279">
        <v>377577</v>
      </c>
      <c r="E9" s="279">
        <v>381550</v>
      </c>
      <c r="F9" s="280">
        <v>384301</v>
      </c>
      <c r="G9" s="247"/>
      <c r="H9" s="248">
        <v>30</v>
      </c>
      <c r="I9" s="283">
        <v>30904.166666666668</v>
      </c>
      <c r="J9" s="284">
        <v>31235.333333333332</v>
      </c>
      <c r="K9" s="284">
        <v>31464.75</v>
      </c>
      <c r="L9" s="284">
        <v>31795.833333333332</v>
      </c>
      <c r="M9" s="284">
        <v>32025.083333333332</v>
      </c>
      <c r="N9" s="250"/>
      <c r="O9" s="248">
        <v>30</v>
      </c>
      <c r="P9" s="288">
        <v>370850</v>
      </c>
      <c r="Q9" s="289">
        <v>374824</v>
      </c>
      <c r="R9" s="289">
        <v>377577</v>
      </c>
      <c r="S9" s="289">
        <v>381550</v>
      </c>
      <c r="T9" s="290">
        <v>384301</v>
      </c>
      <c r="U9" s="252">
        <f>C37</f>
        <v>1.57765</v>
      </c>
      <c r="V9" s="216">
        <v>2500</v>
      </c>
      <c r="W9" s="262">
        <f t="shared" si="1"/>
        <v>3944.125</v>
      </c>
      <c r="X9" s="262">
        <f t="shared" si="2"/>
        <v>328.67708333333331</v>
      </c>
      <c r="Y9" s="262">
        <f t="shared" si="3"/>
        <v>655.1191624999999</v>
      </c>
      <c r="Z9" s="262">
        <f t="shared" si="4"/>
        <v>4599.2441625000001</v>
      </c>
      <c r="AA9" s="3">
        <f>C38</f>
        <v>16.61</v>
      </c>
      <c r="AB9" s="249">
        <f>C39</f>
        <v>17.09</v>
      </c>
      <c r="AC9" s="216">
        <v>2500</v>
      </c>
      <c r="AD9" s="262">
        <f t="shared" si="5"/>
        <v>3944.125</v>
      </c>
      <c r="AE9" s="262">
        <f t="shared" si="6"/>
        <v>328.67708333333331</v>
      </c>
      <c r="AF9" s="262">
        <f t="shared" si="7"/>
        <v>674.05096249999997</v>
      </c>
      <c r="AG9" s="262">
        <f t="shared" si="8"/>
        <v>4618.1759624999995</v>
      </c>
      <c r="AH9" s="246"/>
      <c r="AI9" s="246"/>
      <c r="AJ9" s="246"/>
      <c r="AK9" s="246"/>
      <c r="AL9" s="246"/>
      <c r="AM9" s="246"/>
      <c r="AN9" s="246"/>
      <c r="AO9" s="246"/>
      <c r="AP9" s="246"/>
      <c r="AQ9" s="246"/>
      <c r="AR9" s="246"/>
    </row>
    <row r="10" spans="1:44" ht="15.5">
      <c r="A10" s="245">
        <v>31</v>
      </c>
      <c r="B10" s="275">
        <v>377101</v>
      </c>
      <c r="C10" s="276">
        <v>380840</v>
      </c>
      <c r="D10" s="276">
        <v>383427</v>
      </c>
      <c r="E10" s="276">
        <v>387166</v>
      </c>
      <c r="F10" s="277">
        <v>389754</v>
      </c>
      <c r="G10" s="247"/>
      <c r="H10" s="248">
        <v>31</v>
      </c>
      <c r="I10" s="281">
        <v>31425.083333333332</v>
      </c>
      <c r="J10" s="282">
        <v>31736.666666666668</v>
      </c>
      <c r="K10" s="282">
        <v>31952.25</v>
      </c>
      <c r="L10" s="282">
        <v>32263.833333333332</v>
      </c>
      <c r="M10" s="282">
        <v>32479.5</v>
      </c>
      <c r="N10" s="250"/>
      <c r="O10" s="248">
        <v>31</v>
      </c>
      <c r="P10" s="285">
        <v>377101</v>
      </c>
      <c r="Q10" s="286">
        <v>380840</v>
      </c>
      <c r="R10" s="286">
        <v>383427</v>
      </c>
      <c r="S10" s="286">
        <v>387166</v>
      </c>
      <c r="T10" s="287">
        <v>389754</v>
      </c>
      <c r="U10" s="252">
        <f>C37</f>
        <v>1.57765</v>
      </c>
      <c r="V10" s="217">
        <v>2800</v>
      </c>
      <c r="W10" s="262">
        <f t="shared" si="1"/>
        <v>4417.42</v>
      </c>
      <c r="X10" s="262">
        <f t="shared" si="2"/>
        <v>368.11833333333334</v>
      </c>
      <c r="Y10" s="262">
        <f t="shared" si="3"/>
        <v>733.73346200000003</v>
      </c>
      <c r="Z10" s="262">
        <f t="shared" si="4"/>
        <v>5151.1534620000002</v>
      </c>
      <c r="AA10" s="3">
        <f>C38</f>
        <v>16.61</v>
      </c>
      <c r="AB10" s="249">
        <f>C39</f>
        <v>17.09</v>
      </c>
      <c r="AC10" s="217">
        <v>2800</v>
      </c>
      <c r="AD10" s="262">
        <f t="shared" si="5"/>
        <v>4417.42</v>
      </c>
      <c r="AE10" s="262">
        <f t="shared" si="6"/>
        <v>368.11833333333334</v>
      </c>
      <c r="AF10" s="262">
        <f t="shared" si="7"/>
        <v>754.93707800000004</v>
      </c>
      <c r="AG10" s="262">
        <f t="shared" si="8"/>
        <v>5172.357078</v>
      </c>
      <c r="AH10" s="246"/>
      <c r="AI10" s="246"/>
      <c r="AJ10" s="246"/>
      <c r="AK10" s="246"/>
      <c r="AL10" s="246"/>
      <c r="AM10" s="246"/>
      <c r="AN10" s="246"/>
      <c r="AO10" s="246"/>
      <c r="AP10" s="246"/>
      <c r="AQ10" s="246"/>
      <c r="AR10" s="246"/>
    </row>
    <row r="11" spans="1:44" ht="15.5">
      <c r="A11" s="245">
        <v>32</v>
      </c>
      <c r="B11" s="275">
        <v>383490</v>
      </c>
      <c r="C11" s="276">
        <v>386977</v>
      </c>
      <c r="D11" s="276">
        <v>389389</v>
      </c>
      <c r="E11" s="276">
        <v>392877</v>
      </c>
      <c r="F11" s="277">
        <v>395291</v>
      </c>
      <c r="G11" s="247"/>
      <c r="H11" s="248">
        <v>32</v>
      </c>
      <c r="I11" s="281">
        <v>31957.5</v>
      </c>
      <c r="J11" s="282">
        <v>32248.083333333332</v>
      </c>
      <c r="K11" s="282">
        <v>32449.083333333332</v>
      </c>
      <c r="L11" s="282">
        <v>32739.75</v>
      </c>
      <c r="M11" s="282">
        <v>32940.916666666664</v>
      </c>
      <c r="N11" s="250"/>
      <c r="O11" s="248">
        <v>32</v>
      </c>
      <c r="P11" s="285">
        <v>383490</v>
      </c>
      <c r="Q11" s="286">
        <v>386977</v>
      </c>
      <c r="R11" s="286">
        <v>389389</v>
      </c>
      <c r="S11" s="286">
        <v>392877</v>
      </c>
      <c r="T11" s="287">
        <v>395291</v>
      </c>
      <c r="U11" s="252">
        <f>C37</f>
        <v>1.57765</v>
      </c>
      <c r="V11" s="217">
        <v>3100</v>
      </c>
      <c r="W11" s="262">
        <f t="shared" si="1"/>
        <v>4890.7150000000001</v>
      </c>
      <c r="X11" s="262">
        <f t="shared" si="2"/>
        <v>407.55958333333336</v>
      </c>
      <c r="Y11" s="262">
        <f t="shared" si="3"/>
        <v>812.34776150000005</v>
      </c>
      <c r="Z11" s="262">
        <f t="shared" si="4"/>
        <v>5703.0627615000003</v>
      </c>
      <c r="AA11" s="3">
        <f>C38</f>
        <v>16.61</v>
      </c>
      <c r="AB11" s="249">
        <f>C39</f>
        <v>17.09</v>
      </c>
      <c r="AC11" s="217">
        <v>3100</v>
      </c>
      <c r="AD11" s="262">
        <f t="shared" si="5"/>
        <v>4890.7150000000001</v>
      </c>
      <c r="AE11" s="262">
        <f t="shared" si="6"/>
        <v>407.55958333333336</v>
      </c>
      <c r="AF11" s="262">
        <f t="shared" si="7"/>
        <v>835.8231935</v>
      </c>
      <c r="AG11" s="262">
        <f t="shared" si="8"/>
        <v>5726.5381935000005</v>
      </c>
      <c r="AH11" s="246"/>
      <c r="AI11" s="246"/>
      <c r="AJ11" s="246"/>
      <c r="AK11" s="246"/>
      <c r="AL11" s="246"/>
      <c r="AM11" s="246"/>
      <c r="AN11" s="246"/>
      <c r="AO11" s="246"/>
      <c r="AP11" s="246"/>
      <c r="AQ11" s="246"/>
      <c r="AR11" s="246"/>
    </row>
    <row r="12" spans="1:44" ht="15.5">
      <c r="A12" s="245">
        <v>33</v>
      </c>
      <c r="B12" s="275">
        <v>390019</v>
      </c>
      <c r="C12" s="276">
        <v>393239</v>
      </c>
      <c r="D12" s="276">
        <v>395468</v>
      </c>
      <c r="E12" s="276">
        <v>398688</v>
      </c>
      <c r="F12" s="277">
        <v>400916</v>
      </c>
      <c r="G12" s="247"/>
      <c r="H12" s="248">
        <v>33</v>
      </c>
      <c r="I12" s="281">
        <v>32501.583333333332</v>
      </c>
      <c r="J12" s="282">
        <v>32769.916666666664</v>
      </c>
      <c r="K12" s="282">
        <v>32955.666666666664</v>
      </c>
      <c r="L12" s="282">
        <v>33224</v>
      </c>
      <c r="M12" s="282">
        <v>33409.666666666664</v>
      </c>
      <c r="N12" s="250"/>
      <c r="O12" s="248">
        <v>33</v>
      </c>
      <c r="P12" s="285">
        <v>390019</v>
      </c>
      <c r="Q12" s="286">
        <v>393239</v>
      </c>
      <c r="R12" s="286">
        <v>395468</v>
      </c>
      <c r="S12" s="286">
        <v>398688</v>
      </c>
      <c r="T12" s="287">
        <v>400916</v>
      </c>
      <c r="U12">
        <f>C37</f>
        <v>1.57765</v>
      </c>
      <c r="V12" s="217">
        <v>3400</v>
      </c>
      <c r="W12" s="262">
        <f t="shared" si="1"/>
        <v>5364.01</v>
      </c>
      <c r="X12" s="262">
        <f t="shared" si="2"/>
        <v>447.00083333333333</v>
      </c>
      <c r="Y12" s="262">
        <f t="shared" si="3"/>
        <v>890.96206099999995</v>
      </c>
      <c r="Z12" s="262">
        <f t="shared" si="4"/>
        <v>6254.9720610000004</v>
      </c>
      <c r="AA12" s="3">
        <f>C38</f>
        <v>16.61</v>
      </c>
      <c r="AB12" s="254">
        <f>C39</f>
        <v>17.09</v>
      </c>
      <c r="AC12" s="217">
        <v>3400</v>
      </c>
      <c r="AD12" s="262">
        <f t="shared" si="5"/>
        <v>5364.01</v>
      </c>
      <c r="AE12" s="262">
        <f t="shared" si="6"/>
        <v>447.00083333333333</v>
      </c>
      <c r="AF12" s="262">
        <f t="shared" si="7"/>
        <v>916.70930900000008</v>
      </c>
      <c r="AG12" s="262">
        <f t="shared" si="8"/>
        <v>6280.7193090000001</v>
      </c>
    </row>
    <row r="13" spans="1:44" ht="15.5">
      <c r="A13" s="245">
        <v>34</v>
      </c>
      <c r="B13" s="275">
        <v>396699</v>
      </c>
      <c r="C13" s="276">
        <v>399637</v>
      </c>
      <c r="D13" s="276">
        <v>401669</v>
      </c>
      <c r="E13" s="276">
        <v>404606</v>
      </c>
      <c r="F13" s="277">
        <v>406640</v>
      </c>
      <c r="G13" s="247"/>
      <c r="H13" s="248">
        <v>34</v>
      </c>
      <c r="I13" s="281">
        <v>33058.25</v>
      </c>
      <c r="J13" s="282">
        <v>33303.083333333336</v>
      </c>
      <c r="K13" s="282">
        <v>33472.416666666664</v>
      </c>
      <c r="L13" s="282">
        <v>33717.166666666664</v>
      </c>
      <c r="M13" s="282">
        <v>33886.666666666664</v>
      </c>
      <c r="N13" s="250"/>
      <c r="O13" s="248">
        <v>34</v>
      </c>
      <c r="P13" s="285">
        <v>396699</v>
      </c>
      <c r="Q13" s="286">
        <v>399637</v>
      </c>
      <c r="R13" s="286">
        <v>401669</v>
      </c>
      <c r="S13" s="286">
        <v>404606</v>
      </c>
      <c r="T13" s="287">
        <v>406640</v>
      </c>
      <c r="U13">
        <f>C37</f>
        <v>1.57765</v>
      </c>
      <c r="V13" s="217">
        <v>3600</v>
      </c>
      <c r="W13" s="262">
        <f t="shared" si="1"/>
        <v>5679.54</v>
      </c>
      <c r="X13" s="262">
        <f t="shared" si="2"/>
        <v>473.29500000000002</v>
      </c>
      <c r="Y13" s="262">
        <f t="shared" si="3"/>
        <v>943.37159399999985</v>
      </c>
      <c r="Z13" s="262">
        <f t="shared" si="4"/>
        <v>6622.9115940000002</v>
      </c>
      <c r="AA13" s="3">
        <f>C38</f>
        <v>16.61</v>
      </c>
      <c r="AB13" s="254">
        <f>C39</f>
        <v>17.09</v>
      </c>
      <c r="AC13" s="217">
        <v>3600</v>
      </c>
      <c r="AD13" s="262">
        <f t="shared" si="5"/>
        <v>5679.54</v>
      </c>
      <c r="AE13" s="262">
        <f t="shared" si="6"/>
        <v>473.29500000000002</v>
      </c>
      <c r="AF13" s="262">
        <f t="shared" si="7"/>
        <v>970.63338599999997</v>
      </c>
      <c r="AG13" s="262">
        <f t="shared" si="8"/>
        <v>6650.1733860000004</v>
      </c>
    </row>
    <row r="14" spans="1:44" ht="15.5">
      <c r="A14" s="253">
        <v>35</v>
      </c>
      <c r="B14" s="278">
        <v>403519</v>
      </c>
      <c r="C14" s="279">
        <v>406157</v>
      </c>
      <c r="D14" s="279">
        <v>407982</v>
      </c>
      <c r="E14" s="279">
        <v>410618</v>
      </c>
      <c r="F14" s="280">
        <v>412445</v>
      </c>
      <c r="G14" s="247"/>
      <c r="H14" s="248">
        <v>35</v>
      </c>
      <c r="I14" s="283">
        <v>33626.583333333336</v>
      </c>
      <c r="J14" s="284">
        <v>33846.416666666664</v>
      </c>
      <c r="K14" s="284">
        <v>33998.5</v>
      </c>
      <c r="L14" s="284">
        <v>34218.166666666664</v>
      </c>
      <c r="M14" s="284">
        <v>34370.416666666664</v>
      </c>
      <c r="N14" s="250"/>
      <c r="O14" s="248">
        <v>35</v>
      </c>
      <c r="P14" s="288">
        <v>403519</v>
      </c>
      <c r="Q14" s="289">
        <v>406157</v>
      </c>
      <c r="R14" s="289">
        <v>407982</v>
      </c>
      <c r="S14" s="289">
        <v>410618</v>
      </c>
      <c r="T14" s="290">
        <v>412445</v>
      </c>
      <c r="U14">
        <f>C37</f>
        <v>1.57765</v>
      </c>
      <c r="V14" s="217">
        <v>3800</v>
      </c>
      <c r="W14" s="262">
        <f t="shared" si="1"/>
        <v>5995.07</v>
      </c>
      <c r="X14" s="262">
        <f t="shared" si="2"/>
        <v>499.58916666666664</v>
      </c>
      <c r="Y14" s="262">
        <f t="shared" si="3"/>
        <v>995.78112699999997</v>
      </c>
      <c r="Z14" s="262">
        <f t="shared" si="4"/>
        <v>6990.8511269999999</v>
      </c>
      <c r="AA14" s="3">
        <f>C38</f>
        <v>16.61</v>
      </c>
      <c r="AB14" s="254">
        <f>C39</f>
        <v>17.09</v>
      </c>
      <c r="AC14" s="217">
        <v>3800</v>
      </c>
      <c r="AD14" s="262">
        <f t="shared" si="5"/>
        <v>5995.07</v>
      </c>
      <c r="AE14" s="262">
        <f t="shared" si="6"/>
        <v>499.58916666666664</v>
      </c>
      <c r="AF14" s="262">
        <f t="shared" si="7"/>
        <v>1024.5574630000001</v>
      </c>
      <c r="AG14" s="262">
        <f t="shared" si="8"/>
        <v>7019.6274629999998</v>
      </c>
    </row>
    <row r="15" spans="1:44" ht="15.5">
      <c r="A15" s="245">
        <v>36</v>
      </c>
      <c r="B15" s="275">
        <v>410495</v>
      </c>
      <c r="C15" s="276">
        <v>412816</v>
      </c>
      <c r="D15" s="276">
        <v>414420</v>
      </c>
      <c r="E15" s="276">
        <v>416739</v>
      </c>
      <c r="F15" s="277">
        <v>418345</v>
      </c>
      <c r="G15" s="247"/>
      <c r="H15" s="248">
        <v>36</v>
      </c>
      <c r="I15" s="281">
        <v>34207.916666666664</v>
      </c>
      <c r="J15" s="282">
        <v>34401.333333333336</v>
      </c>
      <c r="K15" s="282">
        <v>34535</v>
      </c>
      <c r="L15" s="282">
        <v>34728.25</v>
      </c>
      <c r="M15" s="282">
        <v>34862.083333333336</v>
      </c>
      <c r="N15" s="250"/>
      <c r="O15" s="248">
        <v>36</v>
      </c>
      <c r="P15" s="285">
        <v>410495</v>
      </c>
      <c r="Q15" s="286">
        <v>412816</v>
      </c>
      <c r="R15" s="286">
        <v>414420</v>
      </c>
      <c r="S15" s="286">
        <v>416739</v>
      </c>
      <c r="T15" s="287">
        <v>418345</v>
      </c>
      <c r="U15">
        <f>C37</f>
        <v>1.57765</v>
      </c>
      <c r="V15" s="217">
        <v>4100</v>
      </c>
      <c r="W15" s="262">
        <f t="shared" si="1"/>
        <v>6468.3649999999998</v>
      </c>
      <c r="X15" s="262">
        <f t="shared" si="2"/>
        <v>539.03041666666661</v>
      </c>
      <c r="Y15" s="262">
        <f t="shared" si="3"/>
        <v>1074.3954265</v>
      </c>
      <c r="Z15" s="262">
        <f t="shared" si="4"/>
        <v>7542.7604265</v>
      </c>
      <c r="AA15" s="3">
        <f>C38</f>
        <v>16.61</v>
      </c>
      <c r="AB15" s="254">
        <f>C39</f>
        <v>17.09</v>
      </c>
      <c r="AC15" s="217">
        <v>4100</v>
      </c>
      <c r="AD15" s="262">
        <f t="shared" si="5"/>
        <v>6468.3649999999998</v>
      </c>
      <c r="AE15" s="262">
        <f t="shared" si="6"/>
        <v>539.03041666666661</v>
      </c>
      <c r="AF15" s="262">
        <f t="shared" si="7"/>
        <v>1105.4435785000001</v>
      </c>
      <c r="AG15" s="262">
        <f t="shared" si="8"/>
        <v>7573.8085785000003</v>
      </c>
    </row>
    <row r="16" spans="1:44" ht="15.5">
      <c r="A16" s="245">
        <v>37</v>
      </c>
      <c r="B16" s="275">
        <v>417623</v>
      </c>
      <c r="C16" s="276">
        <v>419606</v>
      </c>
      <c r="D16" s="276">
        <v>420980</v>
      </c>
      <c r="E16" s="276">
        <v>422963</v>
      </c>
      <c r="F16" s="277">
        <v>424336</v>
      </c>
      <c r="G16" s="247"/>
      <c r="H16" s="248">
        <v>37</v>
      </c>
      <c r="I16" s="281">
        <v>34801.916666666664</v>
      </c>
      <c r="J16" s="282">
        <v>34967.166666666664</v>
      </c>
      <c r="K16" s="282">
        <v>35081.666666666664</v>
      </c>
      <c r="L16" s="282">
        <v>35246.916666666664</v>
      </c>
      <c r="M16" s="282">
        <v>35361.333333333336</v>
      </c>
      <c r="N16" s="250"/>
      <c r="O16" s="248">
        <v>37</v>
      </c>
      <c r="P16" s="285">
        <v>417623</v>
      </c>
      <c r="Q16" s="286">
        <v>419606</v>
      </c>
      <c r="R16" s="286">
        <v>420980</v>
      </c>
      <c r="S16" s="286">
        <v>422963</v>
      </c>
      <c r="T16" s="287">
        <v>424336</v>
      </c>
      <c r="U16">
        <f>C37</f>
        <v>1.57765</v>
      </c>
      <c r="V16" s="217">
        <v>4300</v>
      </c>
      <c r="W16" s="262">
        <f t="shared" si="1"/>
        <v>6783.8950000000004</v>
      </c>
      <c r="X16" s="262">
        <f t="shared" si="2"/>
        <v>565.32458333333341</v>
      </c>
      <c r="Y16" s="262">
        <f t="shared" si="3"/>
        <v>1126.8049595</v>
      </c>
      <c r="Z16" s="262">
        <f t="shared" si="4"/>
        <v>7910.6999595000007</v>
      </c>
      <c r="AA16" s="3">
        <f>C38</f>
        <v>16.61</v>
      </c>
      <c r="AB16" s="254">
        <f>C39</f>
        <v>17.09</v>
      </c>
      <c r="AC16" s="217">
        <v>4300</v>
      </c>
      <c r="AD16" s="262">
        <f t="shared" si="5"/>
        <v>6783.8950000000004</v>
      </c>
      <c r="AE16" s="262">
        <f t="shared" si="6"/>
        <v>565.32458333333341</v>
      </c>
      <c r="AF16" s="262">
        <f t="shared" si="7"/>
        <v>1159.3676555000002</v>
      </c>
      <c r="AG16" s="262">
        <f t="shared" si="8"/>
        <v>7943.2626555000006</v>
      </c>
    </row>
    <row r="17" spans="1:33" ht="15.5">
      <c r="A17" s="245">
        <v>38</v>
      </c>
      <c r="B17" s="275">
        <v>425189</v>
      </c>
      <c r="C17" s="276">
        <v>426849</v>
      </c>
      <c r="D17" s="276">
        <v>427999</v>
      </c>
      <c r="E17" s="276">
        <v>429658</v>
      </c>
      <c r="F17" s="277">
        <v>430810</v>
      </c>
      <c r="G17" s="247"/>
      <c r="H17" s="248">
        <v>38</v>
      </c>
      <c r="I17" s="281">
        <v>35432.416666666664</v>
      </c>
      <c r="J17" s="282">
        <v>35570.75</v>
      </c>
      <c r="K17" s="282">
        <v>35666.583333333336</v>
      </c>
      <c r="L17" s="282">
        <v>35804.833333333336</v>
      </c>
      <c r="M17" s="282">
        <v>35900.833333333336</v>
      </c>
      <c r="N17" s="250"/>
      <c r="O17" s="248">
        <v>38</v>
      </c>
      <c r="P17" s="285">
        <v>425189</v>
      </c>
      <c r="Q17" s="286">
        <v>426849</v>
      </c>
      <c r="R17" s="286">
        <v>427999</v>
      </c>
      <c r="S17" s="286">
        <v>429658</v>
      </c>
      <c r="T17" s="287">
        <v>430810</v>
      </c>
      <c r="U17">
        <f>C37</f>
        <v>1.57765</v>
      </c>
      <c r="V17" s="217">
        <v>4800</v>
      </c>
      <c r="W17" s="262">
        <f t="shared" si="1"/>
        <v>7572.72</v>
      </c>
      <c r="X17" s="262">
        <f t="shared" si="2"/>
        <v>631.06000000000006</v>
      </c>
      <c r="Y17" s="262">
        <f t="shared" si="3"/>
        <v>1257.828792</v>
      </c>
      <c r="Z17" s="262">
        <f t="shared" si="4"/>
        <v>8830.5487919999996</v>
      </c>
      <c r="AA17" s="3">
        <f>C38</f>
        <v>16.61</v>
      </c>
      <c r="AB17" s="254">
        <f>C39</f>
        <v>17.09</v>
      </c>
      <c r="AC17" s="217">
        <v>4800</v>
      </c>
      <c r="AD17" s="262">
        <f t="shared" si="5"/>
        <v>7572.72</v>
      </c>
      <c r="AE17" s="262">
        <f t="shared" si="6"/>
        <v>631.06000000000006</v>
      </c>
      <c r="AF17" s="262">
        <f t="shared" si="7"/>
        <v>1294.177848</v>
      </c>
      <c r="AG17" s="262">
        <f t="shared" si="8"/>
        <v>8866.8978480000005</v>
      </c>
    </row>
    <row r="18" spans="1:33" ht="15.5">
      <c r="A18" s="245">
        <v>39</v>
      </c>
      <c r="B18" s="275">
        <v>432786</v>
      </c>
      <c r="C18" s="276">
        <v>434064</v>
      </c>
      <c r="D18" s="276">
        <v>434949</v>
      </c>
      <c r="E18" s="276">
        <v>436227</v>
      </c>
      <c r="F18" s="277">
        <v>437113</v>
      </c>
      <c r="G18" s="247"/>
      <c r="H18" s="248">
        <v>39</v>
      </c>
      <c r="I18" s="281">
        <v>36065.5</v>
      </c>
      <c r="J18" s="282">
        <v>36172</v>
      </c>
      <c r="K18" s="282">
        <v>36245.75</v>
      </c>
      <c r="L18" s="282">
        <v>36352.25</v>
      </c>
      <c r="M18" s="282">
        <v>36426.083333333336</v>
      </c>
      <c r="N18" s="250"/>
      <c r="O18" s="248">
        <v>39</v>
      </c>
      <c r="P18" s="285">
        <v>432786</v>
      </c>
      <c r="Q18" s="286">
        <v>434064</v>
      </c>
      <c r="R18" s="286">
        <v>434949</v>
      </c>
      <c r="S18" s="286">
        <v>436227</v>
      </c>
      <c r="T18" s="287">
        <v>437113</v>
      </c>
      <c r="U18">
        <f>C37</f>
        <v>1.57765</v>
      </c>
      <c r="V18" s="217">
        <v>4900</v>
      </c>
      <c r="W18" s="262">
        <f t="shared" si="1"/>
        <v>7730.4849999999997</v>
      </c>
      <c r="X18" s="262">
        <f t="shared" si="2"/>
        <v>644.20708333333334</v>
      </c>
      <c r="Y18" s="262">
        <f t="shared" si="3"/>
        <v>1284.0335585</v>
      </c>
      <c r="Z18" s="262">
        <f t="shared" si="4"/>
        <v>9014.5185584999999</v>
      </c>
      <c r="AA18" s="3">
        <f>C38</f>
        <v>16.61</v>
      </c>
      <c r="AB18" s="254">
        <f>C39</f>
        <v>17.09</v>
      </c>
      <c r="AC18" s="217">
        <v>4900</v>
      </c>
      <c r="AD18" s="262">
        <f t="shared" si="5"/>
        <v>7730.4849999999997</v>
      </c>
      <c r="AE18" s="262">
        <f t="shared" si="6"/>
        <v>644.20708333333334</v>
      </c>
      <c r="AF18" s="262">
        <f t="shared" si="7"/>
        <v>1321.1398864999999</v>
      </c>
      <c r="AG18" s="262">
        <f t="shared" si="8"/>
        <v>9051.6248864999998</v>
      </c>
    </row>
    <row r="19" spans="1:33" ht="15.5">
      <c r="A19" s="253">
        <v>40</v>
      </c>
      <c r="B19" s="278">
        <v>440554</v>
      </c>
      <c r="C19" s="279">
        <v>441428</v>
      </c>
      <c r="D19" s="279">
        <v>442034</v>
      </c>
      <c r="E19" s="279">
        <v>442909</v>
      </c>
      <c r="F19" s="280">
        <v>443515</v>
      </c>
      <c r="G19" s="247"/>
      <c r="H19" s="248">
        <v>40</v>
      </c>
      <c r="I19" s="283">
        <v>36712.833333333336</v>
      </c>
      <c r="J19" s="284">
        <v>36785.666666666664</v>
      </c>
      <c r="K19" s="284">
        <v>36836.166666666664</v>
      </c>
      <c r="L19" s="284">
        <v>36909.083333333336</v>
      </c>
      <c r="M19" s="284">
        <v>36959.583333333336</v>
      </c>
      <c r="N19" s="250"/>
      <c r="O19" s="248">
        <v>40</v>
      </c>
      <c r="P19" s="288">
        <v>440554</v>
      </c>
      <c r="Q19" s="289">
        <v>441428</v>
      </c>
      <c r="R19" s="289">
        <v>442034</v>
      </c>
      <c r="S19" s="289">
        <v>442909</v>
      </c>
      <c r="T19" s="290">
        <v>443515</v>
      </c>
      <c r="U19">
        <f>C37</f>
        <v>1.57765</v>
      </c>
      <c r="V19" s="217">
        <v>5200</v>
      </c>
      <c r="W19" s="262">
        <f t="shared" si="1"/>
        <v>8203.7800000000007</v>
      </c>
      <c r="X19" s="262">
        <f t="shared" si="2"/>
        <v>683.64833333333343</v>
      </c>
      <c r="Y19" s="262">
        <f t="shared" si="3"/>
        <v>1362.647858</v>
      </c>
      <c r="Z19" s="262">
        <f t="shared" si="4"/>
        <v>9566.4278580000009</v>
      </c>
      <c r="AA19" s="3">
        <f>C38</f>
        <v>16.61</v>
      </c>
      <c r="AB19" s="254">
        <f>C39</f>
        <v>17.09</v>
      </c>
      <c r="AC19" s="217">
        <v>5200</v>
      </c>
      <c r="AD19" s="262">
        <f t="shared" si="5"/>
        <v>8203.7800000000007</v>
      </c>
      <c r="AE19" s="262">
        <f t="shared" si="6"/>
        <v>683.64833333333343</v>
      </c>
      <c r="AF19" s="262">
        <f t="shared" si="7"/>
        <v>1402.0260020000001</v>
      </c>
      <c r="AG19" s="262">
        <f t="shared" si="8"/>
        <v>9605.8060020000012</v>
      </c>
    </row>
    <row r="20" spans="1:33" ht="15.5">
      <c r="A20" s="245">
        <v>41</v>
      </c>
      <c r="B20" s="275">
        <v>448491</v>
      </c>
      <c r="C20" s="276">
        <v>448939</v>
      </c>
      <c r="D20" s="276">
        <v>449251</v>
      </c>
      <c r="E20" s="276">
        <v>449698</v>
      </c>
      <c r="F20" s="277">
        <v>450010</v>
      </c>
      <c r="G20" s="247"/>
      <c r="H20" s="248">
        <v>41</v>
      </c>
      <c r="I20" s="281">
        <v>37374.25</v>
      </c>
      <c r="J20" s="282">
        <v>37411.583333333336</v>
      </c>
      <c r="K20" s="282">
        <v>37437.583333333336</v>
      </c>
      <c r="L20" s="282">
        <v>37474.833333333336</v>
      </c>
      <c r="M20" s="282">
        <v>37500.833333333336</v>
      </c>
      <c r="N20" s="250"/>
      <c r="O20" s="248">
        <v>41</v>
      </c>
      <c r="P20" s="285">
        <v>448491</v>
      </c>
      <c r="Q20" s="286">
        <v>448939</v>
      </c>
      <c r="R20" s="286">
        <v>449251</v>
      </c>
      <c r="S20" s="286">
        <v>449698</v>
      </c>
      <c r="T20" s="287">
        <v>450010</v>
      </c>
      <c r="U20">
        <f>C37</f>
        <v>1.57765</v>
      </c>
      <c r="V20" s="217">
        <v>6000</v>
      </c>
      <c r="W20" s="262">
        <f t="shared" si="1"/>
        <v>9465.9</v>
      </c>
      <c r="X20" s="262">
        <f t="shared" si="2"/>
        <v>788.82499999999993</v>
      </c>
      <c r="Y20" s="262">
        <f t="shared" si="3"/>
        <v>1572.2859899999999</v>
      </c>
      <c r="Z20" s="262">
        <f t="shared" si="4"/>
        <v>11038.18599</v>
      </c>
      <c r="AA20" s="3">
        <f>C38</f>
        <v>16.61</v>
      </c>
      <c r="AB20" s="254">
        <f>C39</f>
        <v>17.09</v>
      </c>
      <c r="AC20" s="217">
        <v>6000</v>
      </c>
      <c r="AD20" s="262">
        <f t="shared" si="5"/>
        <v>9465.9</v>
      </c>
      <c r="AE20" s="262">
        <f t="shared" si="6"/>
        <v>788.82499999999993</v>
      </c>
      <c r="AF20" s="262">
        <f t="shared" si="7"/>
        <v>1617.7223100000001</v>
      </c>
      <c r="AG20" s="262">
        <f t="shared" si="8"/>
        <v>11083.622309999999</v>
      </c>
    </row>
    <row r="21" spans="1:33" ht="15.5">
      <c r="A21" s="245">
        <v>42</v>
      </c>
      <c r="B21" s="275">
        <v>456600</v>
      </c>
      <c r="C21" s="276">
        <v>456600</v>
      </c>
      <c r="D21" s="276">
        <v>456600</v>
      </c>
      <c r="E21" s="276">
        <v>456600</v>
      </c>
      <c r="F21" s="277">
        <v>456600</v>
      </c>
      <c r="G21" s="247"/>
      <c r="H21" s="248">
        <v>42</v>
      </c>
      <c r="I21" s="281">
        <v>38050</v>
      </c>
      <c r="J21" s="282">
        <v>38050</v>
      </c>
      <c r="K21" s="282">
        <v>38050</v>
      </c>
      <c r="L21" s="282">
        <v>38050</v>
      </c>
      <c r="M21" s="282">
        <v>38050</v>
      </c>
      <c r="N21" s="250"/>
      <c r="O21" s="248">
        <v>42</v>
      </c>
      <c r="P21" s="285">
        <v>456600</v>
      </c>
      <c r="Q21" s="286">
        <v>456600</v>
      </c>
      <c r="R21" s="286">
        <v>456600</v>
      </c>
      <c r="S21" s="286">
        <v>456600</v>
      </c>
      <c r="T21" s="287">
        <v>456600</v>
      </c>
      <c r="U21">
        <f>C37</f>
        <v>1.57765</v>
      </c>
      <c r="V21" s="217">
        <v>7000</v>
      </c>
      <c r="W21" s="262">
        <f t="shared" si="1"/>
        <v>11043.55</v>
      </c>
      <c r="X21" s="262">
        <f t="shared" si="2"/>
        <v>920.29583333333323</v>
      </c>
      <c r="Y21" s="262">
        <f t="shared" si="3"/>
        <v>1834.3336549999999</v>
      </c>
      <c r="Z21" s="262">
        <f t="shared" si="4"/>
        <v>12877.883655</v>
      </c>
      <c r="AA21" s="3">
        <f>C38</f>
        <v>16.61</v>
      </c>
      <c r="AB21" s="254">
        <f>C39</f>
        <v>17.09</v>
      </c>
      <c r="AC21" s="217">
        <v>7000</v>
      </c>
      <c r="AD21" s="262">
        <f t="shared" si="5"/>
        <v>11043.55</v>
      </c>
      <c r="AE21" s="262">
        <f t="shared" si="6"/>
        <v>920.29583333333323</v>
      </c>
      <c r="AF21" s="262">
        <f t="shared" si="7"/>
        <v>1887.342695</v>
      </c>
      <c r="AG21" s="262">
        <f t="shared" si="8"/>
        <v>12930.892694999999</v>
      </c>
    </row>
    <row r="22" spans="1:33" ht="15.5">
      <c r="A22" s="245">
        <v>43</v>
      </c>
      <c r="B22" s="275">
        <v>466748</v>
      </c>
      <c r="C22" s="276">
        <v>466748</v>
      </c>
      <c r="D22" s="276">
        <v>466748</v>
      </c>
      <c r="E22" s="276">
        <v>466748</v>
      </c>
      <c r="F22" s="277">
        <v>466748</v>
      </c>
      <c r="G22" s="247"/>
      <c r="H22" s="248">
        <v>43</v>
      </c>
      <c r="I22" s="281">
        <v>38895.666666666664</v>
      </c>
      <c r="J22" s="282">
        <v>38895.666666666664</v>
      </c>
      <c r="K22" s="282">
        <v>38895.666666666664</v>
      </c>
      <c r="L22" s="282">
        <v>38895.666666666664</v>
      </c>
      <c r="M22" s="282">
        <v>38895.666666666664</v>
      </c>
      <c r="N22" s="250"/>
      <c r="O22" s="248">
        <v>43</v>
      </c>
      <c r="P22" s="285">
        <v>466748</v>
      </c>
      <c r="Q22" s="286">
        <v>466748</v>
      </c>
      <c r="R22" s="286">
        <v>466748</v>
      </c>
      <c r="S22" s="286">
        <v>466748</v>
      </c>
      <c r="T22" s="287">
        <v>466748</v>
      </c>
      <c r="U22">
        <f>C37</f>
        <v>1.57765</v>
      </c>
      <c r="V22" s="218">
        <v>8100</v>
      </c>
      <c r="W22" s="262">
        <f t="shared" si="1"/>
        <v>12778.965</v>
      </c>
      <c r="X22" s="262">
        <f t="shared" si="2"/>
        <v>1064.9137499999999</v>
      </c>
      <c r="Y22" s="262">
        <f t="shared" si="3"/>
        <v>2122.5860865</v>
      </c>
      <c r="Z22" s="262">
        <f t="shared" si="4"/>
        <v>14901.5510865</v>
      </c>
      <c r="AA22" s="3">
        <f>C38</f>
        <v>16.61</v>
      </c>
      <c r="AB22" s="254">
        <f>C39</f>
        <v>17.09</v>
      </c>
      <c r="AC22" s="218">
        <v>8100</v>
      </c>
      <c r="AD22" s="262">
        <f t="shared" si="5"/>
        <v>12778.965</v>
      </c>
      <c r="AE22" s="262">
        <f t="shared" si="6"/>
        <v>1064.9137499999999</v>
      </c>
      <c r="AF22" s="262">
        <f t="shared" si="7"/>
        <v>2183.9251185000003</v>
      </c>
      <c r="AG22" s="262">
        <f t="shared" si="8"/>
        <v>14962.8901185</v>
      </c>
    </row>
    <row r="23" spans="1:33" ht="15.5">
      <c r="A23" s="245">
        <v>44</v>
      </c>
      <c r="B23" s="275">
        <v>477176</v>
      </c>
      <c r="C23" s="276">
        <v>477176</v>
      </c>
      <c r="D23" s="276">
        <v>477176</v>
      </c>
      <c r="E23" s="276">
        <v>477176</v>
      </c>
      <c r="F23" s="277">
        <v>477176</v>
      </c>
      <c r="G23" s="247"/>
      <c r="H23" s="248">
        <v>44</v>
      </c>
      <c r="I23" s="281">
        <v>39764.666666666664</v>
      </c>
      <c r="J23" s="282">
        <v>39764.666666666664</v>
      </c>
      <c r="K23" s="282">
        <v>39764.666666666664</v>
      </c>
      <c r="L23" s="282">
        <v>39764.666666666664</v>
      </c>
      <c r="M23" s="282">
        <v>39764.666666666664</v>
      </c>
      <c r="N23" s="250"/>
      <c r="O23" s="248">
        <v>44</v>
      </c>
      <c r="P23" s="285">
        <v>477176</v>
      </c>
      <c r="Q23" s="286">
        <v>477176</v>
      </c>
      <c r="R23" s="286">
        <v>477176</v>
      </c>
      <c r="S23" s="286">
        <v>477176</v>
      </c>
      <c r="T23" s="287">
        <v>477176</v>
      </c>
      <c r="U23">
        <f>C37</f>
        <v>1.57765</v>
      </c>
      <c r="V23" s="218">
        <v>9100</v>
      </c>
      <c r="W23" s="262">
        <f t="shared" si="1"/>
        <v>14356.615</v>
      </c>
      <c r="X23" s="262">
        <f t="shared" si="2"/>
        <v>1196.3845833333332</v>
      </c>
      <c r="Y23" s="262">
        <f t="shared" si="3"/>
        <v>2384.6337514999996</v>
      </c>
      <c r="Z23" s="262">
        <f t="shared" si="4"/>
        <v>16741.248751499999</v>
      </c>
      <c r="AA23" s="3">
        <f>C38</f>
        <v>16.61</v>
      </c>
      <c r="AB23" s="254">
        <f>C39</f>
        <v>17.09</v>
      </c>
      <c r="AC23" s="218">
        <v>9100</v>
      </c>
      <c r="AD23" s="262">
        <f t="shared" si="5"/>
        <v>14356.615</v>
      </c>
      <c r="AE23" s="262">
        <f t="shared" si="6"/>
        <v>1196.3845833333332</v>
      </c>
      <c r="AF23" s="262">
        <f t="shared" si="7"/>
        <v>2453.5455035</v>
      </c>
      <c r="AG23" s="262">
        <f t="shared" si="8"/>
        <v>16810.160503499999</v>
      </c>
    </row>
    <row r="24" spans="1:33" ht="15.5">
      <c r="A24" s="253">
        <v>45</v>
      </c>
      <c r="B24" s="278">
        <v>487890</v>
      </c>
      <c r="C24" s="279">
        <v>487890</v>
      </c>
      <c r="D24" s="279">
        <v>487890</v>
      </c>
      <c r="E24" s="279">
        <v>487890</v>
      </c>
      <c r="F24" s="280">
        <v>487890</v>
      </c>
      <c r="G24" s="247"/>
      <c r="H24" s="248">
        <v>45</v>
      </c>
      <c r="I24" s="283">
        <v>40657.5</v>
      </c>
      <c r="J24" s="284">
        <v>40657.5</v>
      </c>
      <c r="K24" s="284">
        <v>40657.5</v>
      </c>
      <c r="L24" s="284">
        <v>40657.5</v>
      </c>
      <c r="M24" s="284">
        <v>40657.5</v>
      </c>
      <c r="N24" s="250"/>
      <c r="O24" s="248">
        <v>45</v>
      </c>
      <c r="P24" s="288">
        <v>487890</v>
      </c>
      <c r="Q24" s="289">
        <v>487890</v>
      </c>
      <c r="R24" s="289">
        <v>487890</v>
      </c>
      <c r="S24" s="289">
        <v>487890</v>
      </c>
      <c r="T24" s="290">
        <v>487890</v>
      </c>
      <c r="U24">
        <f>C37</f>
        <v>1.57765</v>
      </c>
      <c r="V24" s="218">
        <v>12000</v>
      </c>
      <c r="W24" s="262">
        <f t="shared" si="1"/>
        <v>18931.8</v>
      </c>
      <c r="X24" s="262">
        <f t="shared" si="2"/>
        <v>1577.6499999999999</v>
      </c>
      <c r="Y24" s="262">
        <f t="shared" si="3"/>
        <v>3144.5719799999997</v>
      </c>
      <c r="Z24" s="262">
        <f t="shared" si="4"/>
        <v>22076.37198</v>
      </c>
      <c r="AA24" s="3">
        <f>C38</f>
        <v>16.61</v>
      </c>
      <c r="AB24" s="254">
        <f>C39</f>
        <v>17.09</v>
      </c>
      <c r="AC24" s="218">
        <v>12000</v>
      </c>
      <c r="AD24" s="262">
        <f t="shared" si="5"/>
        <v>18931.8</v>
      </c>
      <c r="AE24" s="262">
        <f t="shared" si="6"/>
        <v>1577.6499999999999</v>
      </c>
      <c r="AF24" s="262">
        <f t="shared" si="7"/>
        <v>3235.4446200000002</v>
      </c>
      <c r="AG24" s="262">
        <f t="shared" si="8"/>
        <v>22167.244619999998</v>
      </c>
    </row>
    <row r="25" spans="1:33" ht="15.5">
      <c r="A25" s="245">
        <v>46</v>
      </c>
      <c r="B25" s="275">
        <v>498899</v>
      </c>
      <c r="C25" s="276">
        <v>498899</v>
      </c>
      <c r="D25" s="276">
        <v>498899</v>
      </c>
      <c r="E25" s="276">
        <v>498899</v>
      </c>
      <c r="F25" s="277">
        <v>498899</v>
      </c>
      <c r="G25" s="247"/>
      <c r="H25" s="248">
        <v>46</v>
      </c>
      <c r="I25" s="281">
        <v>41574.916666666664</v>
      </c>
      <c r="J25" s="282">
        <v>41574.916666666664</v>
      </c>
      <c r="K25" s="282">
        <v>41574.916666666664</v>
      </c>
      <c r="L25" s="282">
        <v>41574.916666666664</v>
      </c>
      <c r="M25" s="282">
        <v>41574.916666666664</v>
      </c>
      <c r="N25" s="250"/>
      <c r="O25" s="248">
        <v>46</v>
      </c>
      <c r="P25" s="285">
        <v>498899</v>
      </c>
      <c r="Q25" s="286">
        <v>498899</v>
      </c>
      <c r="R25" s="286">
        <v>498899</v>
      </c>
      <c r="S25" s="286">
        <v>498899</v>
      </c>
      <c r="T25" s="287">
        <v>498899</v>
      </c>
      <c r="U25">
        <f>C37</f>
        <v>1.57765</v>
      </c>
      <c r="V25" s="218">
        <v>20300</v>
      </c>
      <c r="W25" s="262">
        <f t="shared" si="1"/>
        <v>32026.294999999998</v>
      </c>
      <c r="X25" s="262">
        <f t="shared" si="2"/>
        <v>2668.8579166666664</v>
      </c>
      <c r="Y25" s="262">
        <f t="shared" si="3"/>
        <v>5319.5675995000001</v>
      </c>
      <c r="Z25" s="262">
        <f t="shared" si="4"/>
        <v>37345.862599499997</v>
      </c>
      <c r="AA25" s="3">
        <f>C38</f>
        <v>16.61</v>
      </c>
      <c r="AB25" s="254">
        <f>C39</f>
        <v>17.09</v>
      </c>
      <c r="AC25" s="218">
        <v>20300</v>
      </c>
      <c r="AD25" s="262">
        <f t="shared" si="5"/>
        <v>32026.294999999998</v>
      </c>
      <c r="AE25" s="262">
        <f t="shared" si="6"/>
        <v>2668.8579166666664</v>
      </c>
      <c r="AF25" s="262">
        <f t="shared" si="7"/>
        <v>5473.2938154999993</v>
      </c>
      <c r="AG25" s="262">
        <f t="shared" si="8"/>
        <v>37499.588815499999</v>
      </c>
    </row>
    <row r="26" spans="1:33" ht="15.5">
      <c r="A26" s="245">
        <v>47</v>
      </c>
      <c r="B26" s="275">
        <v>507779</v>
      </c>
      <c r="C26" s="276">
        <v>507779</v>
      </c>
      <c r="D26" s="276">
        <v>507779</v>
      </c>
      <c r="E26" s="276">
        <v>507779</v>
      </c>
      <c r="F26" s="277">
        <v>507779</v>
      </c>
      <c r="G26" s="247"/>
      <c r="H26" s="248">
        <v>47</v>
      </c>
      <c r="I26" s="281">
        <v>42314.916666666664</v>
      </c>
      <c r="J26" s="282">
        <v>42314.916666666664</v>
      </c>
      <c r="K26" s="282">
        <v>42314.916666666664</v>
      </c>
      <c r="L26" s="282">
        <v>42314.916666666664</v>
      </c>
      <c r="M26" s="282">
        <v>42314.916666666664</v>
      </c>
      <c r="N26" s="250"/>
      <c r="O26" s="248">
        <v>47</v>
      </c>
      <c r="P26" s="285">
        <v>507779</v>
      </c>
      <c r="Q26" s="286">
        <v>507779</v>
      </c>
      <c r="R26" s="286">
        <v>507779</v>
      </c>
      <c r="S26" s="286">
        <v>507779</v>
      </c>
      <c r="T26" s="287">
        <v>507779</v>
      </c>
      <c r="U26">
        <f>C37</f>
        <v>1.57765</v>
      </c>
      <c r="V26" s="218">
        <v>30600</v>
      </c>
      <c r="W26" s="262">
        <f t="shared" si="1"/>
        <v>48276.09</v>
      </c>
      <c r="X26" s="262">
        <f t="shared" si="2"/>
        <v>4023.0074999999997</v>
      </c>
      <c r="Y26" s="262">
        <f t="shared" si="3"/>
        <v>8018.6585489999989</v>
      </c>
      <c r="Z26" s="262">
        <f t="shared" si="4"/>
        <v>56294.748548999996</v>
      </c>
      <c r="AA26" s="3">
        <f>C38</f>
        <v>16.61</v>
      </c>
      <c r="AB26" s="254">
        <f>C39</f>
        <v>17.09</v>
      </c>
      <c r="AC26" s="218">
        <v>30600</v>
      </c>
      <c r="AD26" s="262">
        <f t="shared" si="5"/>
        <v>48276.09</v>
      </c>
      <c r="AE26" s="262">
        <f t="shared" si="6"/>
        <v>4023.0074999999997</v>
      </c>
      <c r="AF26" s="262">
        <f t="shared" si="7"/>
        <v>8250.3837810000005</v>
      </c>
      <c r="AG26" s="262">
        <f t="shared" si="8"/>
        <v>56526.473780999993</v>
      </c>
    </row>
    <row r="27" spans="1:33" ht="16" thickBot="1">
      <c r="A27" s="245">
        <v>48</v>
      </c>
      <c r="B27" s="275">
        <v>531121</v>
      </c>
      <c r="C27" s="276">
        <v>531121</v>
      </c>
      <c r="D27" s="276">
        <v>531121</v>
      </c>
      <c r="E27" s="276">
        <v>531121</v>
      </c>
      <c r="F27" s="277">
        <v>531121</v>
      </c>
      <c r="G27" s="247"/>
      <c r="H27" s="248">
        <v>48</v>
      </c>
      <c r="I27" s="281">
        <v>44260.083333333336</v>
      </c>
      <c r="J27" s="282">
        <v>44260.083333333336</v>
      </c>
      <c r="K27" s="282">
        <v>44260.083333333336</v>
      </c>
      <c r="L27" s="282">
        <v>44260.083333333336</v>
      </c>
      <c r="M27" s="282">
        <v>44260.083333333336</v>
      </c>
      <c r="N27" s="250"/>
      <c r="O27" s="248">
        <v>48</v>
      </c>
      <c r="P27" s="285">
        <v>531121</v>
      </c>
      <c r="Q27" s="286">
        <v>531121</v>
      </c>
      <c r="R27" s="286">
        <v>531121</v>
      </c>
      <c r="S27" s="286">
        <v>531121</v>
      </c>
      <c r="T27" s="287">
        <v>531121</v>
      </c>
      <c r="U27">
        <f>C37</f>
        <v>1.57765</v>
      </c>
      <c r="V27" s="159">
        <v>41000</v>
      </c>
      <c r="W27" s="262">
        <f t="shared" si="1"/>
        <v>64683.65</v>
      </c>
      <c r="X27" s="262">
        <f t="shared" si="2"/>
        <v>5390.3041666666668</v>
      </c>
      <c r="Y27" s="262">
        <f t="shared" si="3"/>
        <v>10743.954265</v>
      </c>
      <c r="Z27" s="262">
        <f t="shared" si="4"/>
        <v>75427.604265000002</v>
      </c>
      <c r="AA27" s="3">
        <f>C38</f>
        <v>16.61</v>
      </c>
      <c r="AB27" s="3">
        <f>C39</f>
        <v>17.09</v>
      </c>
      <c r="AC27" s="159">
        <v>41000</v>
      </c>
      <c r="AD27" s="262">
        <f t="shared" si="5"/>
        <v>64683.65</v>
      </c>
      <c r="AE27" s="262">
        <f t="shared" si="6"/>
        <v>5390.3041666666668</v>
      </c>
      <c r="AF27" s="262">
        <f t="shared" si="7"/>
        <v>11054.435785000001</v>
      </c>
      <c r="AG27" s="262">
        <f>AD27+AF27</f>
        <v>75738.085785000003</v>
      </c>
    </row>
    <row r="28" spans="1:33" ht="15.5">
      <c r="A28" s="245">
        <v>49</v>
      </c>
      <c r="B28" s="275">
        <v>566764</v>
      </c>
      <c r="C28" s="276">
        <v>566764</v>
      </c>
      <c r="D28" s="276">
        <v>566764</v>
      </c>
      <c r="E28" s="276">
        <v>566764</v>
      </c>
      <c r="F28" s="277">
        <v>566764</v>
      </c>
      <c r="G28" s="247"/>
      <c r="H28" s="248">
        <v>49</v>
      </c>
      <c r="I28" s="281">
        <v>47230.333333333336</v>
      </c>
      <c r="J28" s="282">
        <v>47230.333333333336</v>
      </c>
      <c r="K28" s="282">
        <v>47230.333333333336</v>
      </c>
      <c r="L28" s="282">
        <v>47230.333333333336</v>
      </c>
      <c r="M28" s="282">
        <v>47230.333333333336</v>
      </c>
      <c r="N28" s="250"/>
      <c r="O28" s="248">
        <v>49</v>
      </c>
      <c r="P28" s="285">
        <v>566764</v>
      </c>
      <c r="Q28" s="286">
        <v>566764</v>
      </c>
      <c r="R28" s="286">
        <v>566764</v>
      </c>
      <c r="S28" s="286">
        <v>566764</v>
      </c>
      <c r="T28" s="287">
        <v>566764</v>
      </c>
      <c r="AG28" s="249"/>
    </row>
    <row r="29" spans="1:33" ht="15.5">
      <c r="A29" s="253">
        <v>50</v>
      </c>
      <c r="B29" s="278">
        <v>606329</v>
      </c>
      <c r="C29" s="279">
        <v>606329</v>
      </c>
      <c r="D29" s="279">
        <v>606329</v>
      </c>
      <c r="E29" s="279">
        <v>606329</v>
      </c>
      <c r="F29" s="280">
        <v>606329</v>
      </c>
      <c r="G29" s="247"/>
      <c r="H29" s="248">
        <v>50</v>
      </c>
      <c r="I29" s="283">
        <v>50527.416666666664</v>
      </c>
      <c r="J29" s="284">
        <v>50527.416666666664</v>
      </c>
      <c r="K29" s="284">
        <v>50527.416666666664</v>
      </c>
      <c r="L29" s="284">
        <v>50527.416666666664</v>
      </c>
      <c r="M29" s="284">
        <v>50527.416666666664</v>
      </c>
      <c r="N29" s="250"/>
      <c r="O29" s="248">
        <v>50</v>
      </c>
      <c r="P29" s="288">
        <v>620630</v>
      </c>
      <c r="Q29" s="289">
        <v>620630</v>
      </c>
      <c r="R29" s="289">
        <v>620630</v>
      </c>
      <c r="S29" s="289">
        <v>620630</v>
      </c>
      <c r="T29" s="290">
        <v>620630</v>
      </c>
      <c r="AG29" s="249"/>
    </row>
    <row r="30" spans="1:33" ht="15.5">
      <c r="A30" s="245">
        <v>51</v>
      </c>
      <c r="B30" s="275">
        <v>669735</v>
      </c>
      <c r="C30" s="276">
        <v>669735</v>
      </c>
      <c r="D30" s="276">
        <v>669735</v>
      </c>
      <c r="E30" s="276">
        <v>669735</v>
      </c>
      <c r="F30" s="277">
        <v>669735</v>
      </c>
      <c r="G30" s="247"/>
      <c r="H30" s="248">
        <v>51</v>
      </c>
      <c r="I30" s="281">
        <v>55811.25</v>
      </c>
      <c r="J30" s="282">
        <v>55811.25</v>
      </c>
      <c r="K30" s="282">
        <v>55811.25</v>
      </c>
      <c r="L30" s="282">
        <v>55811.25</v>
      </c>
      <c r="M30" s="282">
        <v>55811.25</v>
      </c>
      <c r="N30" s="250"/>
      <c r="O30" s="248">
        <v>51</v>
      </c>
      <c r="P30" s="285">
        <v>687762</v>
      </c>
      <c r="Q30" s="286">
        <v>687762</v>
      </c>
      <c r="R30" s="286">
        <v>687762</v>
      </c>
      <c r="S30" s="286">
        <v>687762</v>
      </c>
      <c r="T30" s="287">
        <v>687762</v>
      </c>
      <c r="AG30" s="249"/>
    </row>
    <row r="31" spans="1:33" ht="15.5">
      <c r="A31" s="245">
        <v>52</v>
      </c>
      <c r="B31" s="275">
        <v>762074</v>
      </c>
      <c r="C31" s="276">
        <v>762074</v>
      </c>
      <c r="D31" s="276">
        <v>762074</v>
      </c>
      <c r="E31" s="276">
        <v>762074</v>
      </c>
      <c r="F31" s="277">
        <v>762074</v>
      </c>
      <c r="G31" s="247"/>
      <c r="H31" s="248">
        <v>52</v>
      </c>
      <c r="I31" s="281">
        <v>63506.166666666664</v>
      </c>
      <c r="J31" s="282">
        <v>63506.166666666664</v>
      </c>
      <c r="K31" s="282">
        <v>63506.166666666664</v>
      </c>
      <c r="L31" s="282">
        <v>63506.166666666664</v>
      </c>
      <c r="M31" s="282">
        <v>63506.166666666664</v>
      </c>
      <c r="N31" s="250"/>
      <c r="O31" s="248">
        <v>52</v>
      </c>
      <c r="P31" s="285">
        <v>783289</v>
      </c>
      <c r="Q31" s="286">
        <v>783289</v>
      </c>
      <c r="R31" s="286">
        <v>783289</v>
      </c>
      <c r="S31" s="286">
        <v>783289</v>
      </c>
      <c r="T31" s="287">
        <v>783289</v>
      </c>
      <c r="AG31" s="249"/>
    </row>
    <row r="32" spans="1:33" ht="15.5">
      <c r="A32" s="245">
        <v>53</v>
      </c>
      <c r="B32" s="275">
        <v>836729</v>
      </c>
      <c r="C32" s="276">
        <v>836729</v>
      </c>
      <c r="D32" s="276">
        <v>836729</v>
      </c>
      <c r="E32" s="276">
        <v>836729</v>
      </c>
      <c r="F32" s="277">
        <v>836729</v>
      </c>
      <c r="G32" s="247"/>
      <c r="H32" s="248">
        <v>53</v>
      </c>
      <c r="I32" s="281">
        <v>69727.416666666672</v>
      </c>
      <c r="J32" s="282">
        <v>69727.416666666672</v>
      </c>
      <c r="K32" s="282">
        <v>69727.416666666672</v>
      </c>
      <c r="L32" s="282">
        <v>69727.416666666672</v>
      </c>
      <c r="M32" s="282">
        <v>69727.416666666672</v>
      </c>
      <c r="N32" s="250"/>
      <c r="O32" s="248">
        <v>53</v>
      </c>
      <c r="P32" s="285">
        <v>871931</v>
      </c>
      <c r="Q32" s="286">
        <v>871931</v>
      </c>
      <c r="R32" s="286">
        <v>871931</v>
      </c>
      <c r="S32" s="286">
        <v>871931</v>
      </c>
      <c r="T32" s="287">
        <v>871931</v>
      </c>
      <c r="AG32" s="249"/>
    </row>
    <row r="33" spans="1:33" ht="15.5">
      <c r="A33" s="245">
        <v>54</v>
      </c>
      <c r="B33" s="275">
        <v>936255</v>
      </c>
      <c r="C33" s="276">
        <v>936255</v>
      </c>
      <c r="D33" s="276">
        <v>936255</v>
      </c>
      <c r="E33" s="276">
        <v>936255</v>
      </c>
      <c r="F33" s="277">
        <v>936255</v>
      </c>
      <c r="G33" s="247"/>
      <c r="H33" s="248">
        <v>54</v>
      </c>
      <c r="I33" s="281">
        <v>78021.25</v>
      </c>
      <c r="J33" s="282">
        <v>78021.25</v>
      </c>
      <c r="K33" s="282">
        <v>78021.25</v>
      </c>
      <c r="L33" s="282">
        <v>78021.25</v>
      </c>
      <c r="M33" s="282">
        <v>78021.25</v>
      </c>
      <c r="N33" s="250"/>
      <c r="O33" s="248">
        <v>54</v>
      </c>
      <c r="P33" s="285">
        <v>982409</v>
      </c>
      <c r="Q33" s="286">
        <v>982409</v>
      </c>
      <c r="R33" s="286">
        <v>982409</v>
      </c>
      <c r="S33" s="286">
        <v>982409</v>
      </c>
      <c r="T33" s="287">
        <v>982409</v>
      </c>
      <c r="AG33" s="249"/>
    </row>
    <row r="34" spans="1:33" ht="15.5">
      <c r="A34" s="253">
        <v>55</v>
      </c>
      <c r="B34" s="278">
        <v>1055886</v>
      </c>
      <c r="C34" s="279">
        <v>1055886</v>
      </c>
      <c r="D34" s="279">
        <v>1055886</v>
      </c>
      <c r="E34" s="279">
        <v>1055886</v>
      </c>
      <c r="F34" s="280">
        <v>1055886</v>
      </c>
      <c r="G34" s="247"/>
      <c r="H34" s="248">
        <v>55</v>
      </c>
      <c r="I34" s="283">
        <v>87990.5</v>
      </c>
      <c r="J34" s="284">
        <v>87990.5</v>
      </c>
      <c r="K34" s="284">
        <v>87990.5</v>
      </c>
      <c r="L34" s="284">
        <v>87990.5</v>
      </c>
      <c r="M34" s="284">
        <v>87990.5</v>
      </c>
      <c r="N34" s="250"/>
      <c r="O34" s="248">
        <v>55</v>
      </c>
      <c r="P34" s="288">
        <v>1102041</v>
      </c>
      <c r="Q34" s="289">
        <v>1102041</v>
      </c>
      <c r="R34" s="289">
        <v>1102041</v>
      </c>
      <c r="S34" s="289">
        <v>1102041</v>
      </c>
      <c r="T34" s="290">
        <v>1102041</v>
      </c>
      <c r="AG34" s="249"/>
    </row>
    <row r="35" spans="1:33" ht="15.5">
      <c r="A35" s="255" t="s">
        <v>13</v>
      </c>
      <c r="B35" s="278">
        <v>1190036</v>
      </c>
      <c r="C35" s="279">
        <v>1190036</v>
      </c>
      <c r="D35" s="279">
        <v>1190036</v>
      </c>
      <c r="E35" s="279">
        <v>1190036</v>
      </c>
      <c r="F35" s="280">
        <v>1190036</v>
      </c>
      <c r="G35" s="247"/>
      <c r="H35" s="256" t="s">
        <v>13</v>
      </c>
      <c r="I35" s="283">
        <v>99169.666666666672</v>
      </c>
      <c r="J35" s="284">
        <v>99169.666666666672</v>
      </c>
      <c r="K35" s="284">
        <v>99169.666666666672</v>
      </c>
      <c r="L35" s="284">
        <v>99169.666666666672</v>
      </c>
      <c r="M35" s="284">
        <v>99169.666666666672</v>
      </c>
      <c r="N35" s="250"/>
      <c r="O35" s="257" t="s">
        <v>13</v>
      </c>
      <c r="P35" s="288">
        <v>1236193</v>
      </c>
      <c r="Q35" s="289">
        <v>1236193</v>
      </c>
      <c r="R35" s="289">
        <v>1236193</v>
      </c>
      <c r="S35" s="289">
        <v>1236193</v>
      </c>
      <c r="T35" s="290">
        <v>1236193</v>
      </c>
      <c r="AG35" s="249"/>
    </row>
    <row r="36" spans="1:33">
      <c r="A36" s="3"/>
      <c r="B36" s="3"/>
      <c r="C36" s="3"/>
      <c r="D36" s="3"/>
      <c r="E36" s="3"/>
      <c r="F36" s="3"/>
      <c r="G36" s="3"/>
      <c r="H36" s="3"/>
      <c r="I36" s="3"/>
      <c r="J36" s="3"/>
      <c r="K36" s="3"/>
      <c r="L36" s="3"/>
      <c r="M36" s="3"/>
      <c r="N36" s="3"/>
      <c r="O36" s="3"/>
      <c r="P36" s="3"/>
      <c r="Q36" s="3"/>
      <c r="R36" s="3"/>
    </row>
    <row r="37" spans="1:33">
      <c r="A37" s="3"/>
      <c r="B37" s="258" t="s">
        <v>14</v>
      </c>
      <c r="C37" s="274">
        <v>1.57765</v>
      </c>
      <c r="D37" s="3"/>
      <c r="E37" s="622" t="s">
        <v>293</v>
      </c>
      <c r="F37" s="622"/>
      <c r="G37" s="259">
        <v>54</v>
      </c>
      <c r="H37" s="3"/>
      <c r="I37" s="3"/>
      <c r="J37" s="3"/>
      <c r="K37" s="3"/>
      <c r="L37" s="3"/>
      <c r="M37" s="3"/>
      <c r="N37" s="3"/>
      <c r="O37" s="3"/>
      <c r="P37" s="3"/>
      <c r="Q37" s="3"/>
      <c r="R37" s="3"/>
    </row>
    <row r="38" spans="1:33">
      <c r="A38" s="3"/>
      <c r="B38" s="258" t="s">
        <v>15</v>
      </c>
      <c r="C38" s="258">
        <v>16.61</v>
      </c>
      <c r="D38" s="3"/>
      <c r="E38" s="623" t="s">
        <v>294</v>
      </c>
      <c r="F38" s="623"/>
      <c r="G38" s="258">
        <v>5.82</v>
      </c>
      <c r="H38" s="3"/>
      <c r="I38" s="3"/>
      <c r="J38" s="3"/>
      <c r="K38" s="3"/>
      <c r="L38" s="3"/>
      <c r="M38" s="3"/>
      <c r="N38" s="3"/>
      <c r="O38" s="3"/>
      <c r="P38" s="3"/>
      <c r="Q38" s="3"/>
      <c r="R38" s="3"/>
    </row>
    <row r="39" spans="1:33">
      <c r="A39" s="3"/>
      <c r="B39" s="258" t="s">
        <v>16</v>
      </c>
      <c r="C39" s="258">
        <v>17.09</v>
      </c>
      <c r="D39" s="3"/>
      <c r="E39" s="622" t="s">
        <v>295</v>
      </c>
      <c r="F39" s="622"/>
      <c r="G39" s="258">
        <v>127.33</v>
      </c>
      <c r="H39" s="3"/>
      <c r="I39" s="3"/>
      <c r="J39" s="3"/>
      <c r="K39" s="3"/>
      <c r="L39" s="3"/>
      <c r="M39" s="3"/>
      <c r="N39" s="3"/>
      <c r="O39" s="3"/>
      <c r="P39" s="3"/>
      <c r="Q39" s="3"/>
      <c r="R39" s="3"/>
    </row>
    <row r="40" spans="1:33">
      <c r="A40" s="3"/>
      <c r="B40" s="258" t="s">
        <v>204</v>
      </c>
      <c r="C40" s="258">
        <v>2.23</v>
      </c>
      <c r="D40" s="3"/>
      <c r="E40" s="258" t="s">
        <v>296</v>
      </c>
      <c r="F40" s="258"/>
      <c r="G40" s="259">
        <v>289.62</v>
      </c>
      <c r="H40" s="3"/>
      <c r="I40" s="3"/>
      <c r="J40" s="3"/>
      <c r="K40" s="3"/>
      <c r="L40" s="3"/>
      <c r="M40" s="3"/>
      <c r="N40" s="3"/>
      <c r="O40" s="3"/>
      <c r="P40" s="3"/>
      <c r="Q40" s="3"/>
      <c r="R40" s="3"/>
    </row>
    <row r="41" spans="1:33">
      <c r="A41" s="3"/>
      <c r="B41" s="258" t="s">
        <v>205</v>
      </c>
      <c r="C41" s="258">
        <v>3.79</v>
      </c>
      <c r="D41" s="3"/>
      <c r="E41" s="258"/>
      <c r="F41" s="258"/>
      <c r="G41" s="258"/>
      <c r="H41" s="3"/>
      <c r="I41" s="3"/>
      <c r="J41" s="3"/>
      <c r="K41" s="3"/>
      <c r="L41" s="3"/>
      <c r="M41" s="3"/>
      <c r="N41" s="3"/>
      <c r="O41" s="3"/>
      <c r="P41" s="3"/>
      <c r="Q41" s="3"/>
      <c r="R41" s="3"/>
    </row>
    <row r="42" spans="1:33">
      <c r="A42" s="3"/>
      <c r="B42" s="258" t="s">
        <v>194</v>
      </c>
      <c r="C42" s="258">
        <v>41000</v>
      </c>
      <c r="D42" s="3"/>
      <c r="E42" s="258"/>
      <c r="F42" s="258"/>
      <c r="G42" s="258"/>
      <c r="H42" s="3"/>
      <c r="I42" s="3"/>
      <c r="J42" s="3"/>
      <c r="K42" s="3"/>
      <c r="L42" s="3"/>
      <c r="M42" s="3"/>
      <c r="N42" s="3"/>
      <c r="O42" s="3"/>
      <c r="P42" s="3"/>
      <c r="Q42" s="3"/>
      <c r="R42" s="3"/>
    </row>
    <row r="43" spans="1:33">
      <c r="A43" s="618" t="s">
        <v>197</v>
      </c>
      <c r="B43" s="618"/>
    </row>
    <row r="44" spans="1:33">
      <c r="A44" t="s">
        <v>190</v>
      </c>
      <c r="B44">
        <v>1500</v>
      </c>
    </row>
    <row r="45" spans="1:33">
      <c r="A45" t="s">
        <v>169</v>
      </c>
      <c r="B45" s="260">
        <f>Musikskolelærere!C4</f>
        <v>0</v>
      </c>
      <c r="G45">
        <v>37656.75</v>
      </c>
    </row>
    <row r="46" spans="1:33">
      <c r="A46" t="s">
        <v>183</v>
      </c>
      <c r="B46" t="e">
        <f>VLOOKUP(Musikskolelærere!C4,'Skoler, stedtillæg'!A1:B98,2,FALSE)</f>
        <v>#N/A</v>
      </c>
      <c r="G46">
        <v>7777.08</v>
      </c>
    </row>
    <row r="47" spans="1:33">
      <c r="A47" t="s">
        <v>184</v>
      </c>
      <c r="B47">
        <f>Musikskolelærere!C6</f>
        <v>0</v>
      </c>
      <c r="G47">
        <v>2415.08</v>
      </c>
    </row>
    <row r="48" spans="1:33">
      <c r="G48">
        <f>SUM(G45:G47)</f>
        <v>47848.91</v>
      </c>
    </row>
    <row r="49" spans="1:2">
      <c r="A49" t="s">
        <v>195</v>
      </c>
      <c r="B49" s="80" t="e" cm="1">
        <f t="array" ref="B49">_xlfn.XLOOKUP(B46,B6:F6,_xlfn.XLOOKUP(B47,A7:A35,B7:F35))</f>
        <v>#N/A</v>
      </c>
    </row>
    <row r="50" spans="1:2">
      <c r="A50" t="s">
        <v>202</v>
      </c>
      <c r="B50" s="80" t="e" cm="1">
        <f t="array" ref="B50">_xlfn.XLOOKUP(B46,P6:T6,_xlfn.XLOOKUP(B47,O7:O35,P7:T35))</f>
        <v>#N/A</v>
      </c>
    </row>
    <row r="52" spans="1:2">
      <c r="A52" s="618" t="s">
        <v>198</v>
      </c>
      <c r="B52" s="618"/>
    </row>
    <row r="53" spans="1:2">
      <c r="A53" t="s">
        <v>169</v>
      </c>
      <c r="B53" s="260">
        <f>Musikskoleledere_mellemledere!C4</f>
        <v>0</v>
      </c>
    </row>
    <row r="54" spans="1:2">
      <c r="A54" t="s">
        <v>199</v>
      </c>
      <c r="B54" s="260" t="e">
        <f>VLOOKUP(Musikskoleledere_mellemledere!C4,'Skoler, stedtillæg'!A1:B98,2,FALSE)</f>
        <v>#N/A</v>
      </c>
    </row>
    <row r="55" spans="1:2">
      <c r="A55" t="s">
        <v>184</v>
      </c>
      <c r="B55" s="260">
        <f>Musikskoleledere_mellemledere!C6</f>
        <v>0</v>
      </c>
    </row>
    <row r="56" spans="1:2">
      <c r="A56" t="s">
        <v>190</v>
      </c>
      <c r="B56" s="260">
        <v>3600</v>
      </c>
    </row>
    <row r="57" spans="1:2">
      <c r="B57" s="260"/>
    </row>
    <row r="58" spans="1:2">
      <c r="B58" s="260"/>
    </row>
    <row r="59" spans="1:2">
      <c r="A59" t="s">
        <v>196</v>
      </c>
      <c r="B59" s="260" t="e" cm="1">
        <f t="array" ref="B59">_xlfn.XLOOKUP(B54,B6:F6,_xlfn.XLOOKUP(B55,A7:A35,B7:F35))</f>
        <v>#N/A</v>
      </c>
    </row>
    <row r="60" spans="1:2">
      <c r="A60" t="s">
        <v>203</v>
      </c>
      <c r="B60" t="e" cm="1">
        <f t="array" ref="B60">_xlfn.XLOOKUP(B54,P6:T6,_xlfn.XLOOKUP(B55,O7:O35,P7:T35))</f>
        <v>#N/A</v>
      </c>
    </row>
    <row r="62" spans="1:2">
      <c r="B62" t="s">
        <v>187</v>
      </c>
    </row>
    <row r="63" spans="1:2">
      <c r="B63" t="s">
        <v>188</v>
      </c>
    </row>
    <row r="1048576" spans="27:28">
      <c r="AA1048576" s="3"/>
      <c r="AB1048576" s="258"/>
    </row>
  </sheetData>
  <mergeCells count="13">
    <mergeCell ref="A2:C2"/>
    <mergeCell ref="I4:M4"/>
    <mergeCell ref="I5:M5"/>
    <mergeCell ref="B4:F4"/>
    <mergeCell ref="B5:F5"/>
    <mergeCell ref="AC4:AE4"/>
    <mergeCell ref="A43:B43"/>
    <mergeCell ref="A52:B52"/>
    <mergeCell ref="P4:T4"/>
    <mergeCell ref="P5:T5"/>
    <mergeCell ref="E37:F37"/>
    <mergeCell ref="E39:F39"/>
    <mergeCell ref="E38:F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defaultColWidth="8.81640625" defaultRowHeight="14.5"/>
  <cols>
    <col min="1" max="1" width="17" customWidth="1"/>
  </cols>
  <sheetData>
    <row r="1" spans="1:2" ht="15" thickBot="1">
      <c r="A1" s="72" t="s">
        <v>71</v>
      </c>
      <c r="B1" s="73">
        <v>4</v>
      </c>
    </row>
    <row r="2" spans="1:2" ht="15" thickBot="1">
      <c r="A2" s="72" t="s">
        <v>72</v>
      </c>
      <c r="B2" s="73">
        <v>3</v>
      </c>
    </row>
    <row r="3" spans="1:2" ht="15" thickBot="1">
      <c r="A3" s="72" t="s">
        <v>128</v>
      </c>
      <c r="B3" s="73">
        <v>0</v>
      </c>
    </row>
    <row r="4" spans="1:2" ht="15" thickBot="1">
      <c r="A4" s="72" t="s">
        <v>73</v>
      </c>
      <c r="B4" s="73">
        <v>4</v>
      </c>
    </row>
    <row r="5" spans="1:2" ht="15" thickBot="1">
      <c r="A5" s="72" t="s">
        <v>129</v>
      </c>
      <c r="B5" s="73">
        <v>0</v>
      </c>
    </row>
    <row r="6" spans="1:2" ht="15" thickBot="1">
      <c r="A6" s="72" t="s">
        <v>130</v>
      </c>
      <c r="B6" s="73">
        <v>0</v>
      </c>
    </row>
    <row r="7" spans="1:2" ht="15" thickBot="1">
      <c r="A7" s="72" t="s">
        <v>74</v>
      </c>
      <c r="B7" s="73">
        <v>0</v>
      </c>
    </row>
    <row r="8" spans="1:2" ht="15" thickBot="1">
      <c r="A8" s="72" t="s">
        <v>75</v>
      </c>
      <c r="B8" s="73">
        <v>4</v>
      </c>
    </row>
    <row r="9" spans="1:2" ht="15" thickBot="1">
      <c r="A9" s="72" t="s">
        <v>117</v>
      </c>
      <c r="B9" s="73">
        <v>0</v>
      </c>
    </row>
    <row r="10" spans="1:2" ht="15" thickBot="1">
      <c r="A10" s="72" t="s">
        <v>76</v>
      </c>
      <c r="B10" s="73">
        <v>4</v>
      </c>
    </row>
    <row r="11" spans="1:2" ht="15" thickBot="1">
      <c r="A11" s="72" t="s">
        <v>77</v>
      </c>
      <c r="B11" s="73">
        <v>4</v>
      </c>
    </row>
    <row r="12" spans="1:2" ht="15" thickBot="1">
      <c r="A12" s="72" t="s">
        <v>131</v>
      </c>
      <c r="B12" s="73">
        <v>1</v>
      </c>
    </row>
    <row r="13" spans="1:2" ht="15" thickBot="1">
      <c r="A13" s="72" t="s">
        <v>132</v>
      </c>
      <c r="B13" s="73">
        <v>0</v>
      </c>
    </row>
    <row r="14" spans="1:2" ht="15" thickBot="1">
      <c r="A14" s="72" t="s">
        <v>150</v>
      </c>
      <c r="B14" s="73">
        <v>0</v>
      </c>
    </row>
    <row r="15" spans="1:2" ht="15" thickBot="1">
      <c r="A15" s="72" t="s">
        <v>101</v>
      </c>
      <c r="B15" s="73">
        <v>0</v>
      </c>
    </row>
    <row r="16" spans="1:2" ht="15" thickBot="1">
      <c r="A16" s="72" t="s">
        <v>78</v>
      </c>
      <c r="B16" s="73">
        <v>3</v>
      </c>
    </row>
    <row r="17" spans="1:2" ht="15" thickBot="1">
      <c r="A17" s="72" t="s">
        <v>133</v>
      </c>
      <c r="B17" s="73">
        <v>0</v>
      </c>
    </row>
    <row r="18" spans="1:2" ht="15" thickBot="1">
      <c r="A18" s="78" t="s">
        <v>79</v>
      </c>
      <c r="B18" s="73">
        <v>4</v>
      </c>
    </row>
    <row r="19" spans="1:2" ht="15" thickBot="1">
      <c r="A19" s="72" t="s">
        <v>118</v>
      </c>
      <c r="B19" s="73">
        <v>1</v>
      </c>
    </row>
    <row r="20" spans="1:2" ht="15" thickBot="1">
      <c r="A20" s="78" t="s">
        <v>80</v>
      </c>
      <c r="B20" s="73">
        <v>3</v>
      </c>
    </row>
    <row r="21" spans="1:2" ht="15" thickBot="1">
      <c r="A21" s="72" t="s">
        <v>82</v>
      </c>
      <c r="B21" s="73">
        <v>4</v>
      </c>
    </row>
    <row r="22" spans="1:2" ht="15" thickBot="1">
      <c r="A22" s="72" t="s">
        <v>134</v>
      </c>
      <c r="B22" s="73">
        <v>1</v>
      </c>
    </row>
    <row r="23" spans="1:2" ht="15" thickBot="1">
      <c r="A23" s="72" t="s">
        <v>83</v>
      </c>
      <c r="B23" s="73">
        <v>4</v>
      </c>
    </row>
    <row r="24" spans="1:2" ht="15" thickBot="1">
      <c r="A24" s="72" t="s">
        <v>84</v>
      </c>
      <c r="B24" s="73">
        <v>4</v>
      </c>
    </row>
    <row r="25" spans="1:2" ht="15" thickBot="1">
      <c r="A25" s="72" t="s">
        <v>85</v>
      </c>
      <c r="B25" s="73">
        <v>4</v>
      </c>
    </row>
    <row r="26" spans="1:2" ht="15" thickBot="1">
      <c r="A26" s="72" t="s">
        <v>86</v>
      </c>
      <c r="B26" s="73">
        <v>4</v>
      </c>
    </row>
    <row r="27" spans="1:2" ht="15" thickBot="1">
      <c r="A27" s="72" t="s">
        <v>87</v>
      </c>
      <c r="B27" s="73">
        <v>3</v>
      </c>
    </row>
    <row r="28" spans="1:2" ht="15" thickBot="1">
      <c r="A28" s="78" t="s">
        <v>102</v>
      </c>
      <c r="B28" s="73">
        <v>0</v>
      </c>
    </row>
    <row r="29" spans="1:2" ht="15" thickBot="1">
      <c r="A29" s="72" t="s">
        <v>135</v>
      </c>
      <c r="B29" s="73">
        <v>0</v>
      </c>
    </row>
    <row r="30" spans="1:2" ht="15" thickBot="1">
      <c r="A30" s="72" t="s">
        <v>81</v>
      </c>
      <c r="B30" s="73">
        <v>3</v>
      </c>
    </row>
    <row r="31" spans="1:2" ht="15" thickBot="1">
      <c r="A31" s="74" t="s">
        <v>151</v>
      </c>
      <c r="B31" s="73">
        <v>0</v>
      </c>
    </row>
    <row r="32" spans="1:2" ht="15" thickBot="1">
      <c r="A32" s="74" t="s">
        <v>88</v>
      </c>
      <c r="B32" s="73">
        <v>3</v>
      </c>
    </row>
    <row r="33" spans="1:2" ht="15" thickBot="1">
      <c r="A33" s="74" t="s">
        <v>89</v>
      </c>
      <c r="B33" s="73">
        <v>4</v>
      </c>
    </row>
    <row r="34" spans="1:2" ht="15" thickBot="1">
      <c r="A34" s="74" t="s">
        <v>152</v>
      </c>
      <c r="B34" s="73">
        <v>0</v>
      </c>
    </row>
    <row r="35" spans="1:2" ht="15" thickBot="1">
      <c r="A35" s="74" t="s">
        <v>90</v>
      </c>
      <c r="B35" s="73">
        <v>3</v>
      </c>
    </row>
    <row r="36" spans="1:2" ht="15" thickBot="1">
      <c r="A36" s="74" t="s">
        <v>119</v>
      </c>
      <c r="B36" s="73">
        <v>0</v>
      </c>
    </row>
    <row r="37" spans="1:2" ht="15" thickBot="1">
      <c r="A37" s="74" t="s">
        <v>103</v>
      </c>
      <c r="B37" s="73">
        <v>0</v>
      </c>
    </row>
    <row r="38" spans="1:2" ht="15" thickBot="1">
      <c r="A38" s="74" t="s">
        <v>153</v>
      </c>
      <c r="B38" s="73">
        <v>0</v>
      </c>
    </row>
    <row r="39" spans="1:2" ht="15" thickBot="1">
      <c r="A39" s="74" t="s">
        <v>154</v>
      </c>
      <c r="B39" s="73">
        <v>0</v>
      </c>
    </row>
    <row r="40" spans="1:2" ht="15" thickBot="1">
      <c r="A40" s="74" t="s">
        <v>91</v>
      </c>
      <c r="B40" s="73">
        <v>4</v>
      </c>
    </row>
    <row r="41" spans="1:2" ht="15" thickBot="1">
      <c r="A41" s="79" t="s">
        <v>92</v>
      </c>
      <c r="B41" s="73">
        <v>4</v>
      </c>
    </row>
    <row r="42" spans="1:2" ht="15" thickBot="1">
      <c r="A42" s="74" t="s">
        <v>93</v>
      </c>
      <c r="B42" s="73">
        <v>3</v>
      </c>
    </row>
    <row r="43" spans="1:2" ht="15" thickBot="1">
      <c r="A43" s="74" t="s">
        <v>155</v>
      </c>
      <c r="B43" s="73">
        <v>0</v>
      </c>
    </row>
    <row r="44" spans="1:2" ht="15" thickBot="1">
      <c r="A44" s="74" t="s">
        <v>94</v>
      </c>
      <c r="B44" s="73">
        <v>4</v>
      </c>
    </row>
    <row r="45" spans="1:2" ht="15" thickBot="1">
      <c r="A45" s="74" t="s">
        <v>120</v>
      </c>
      <c r="B45" s="73">
        <v>0</v>
      </c>
    </row>
    <row r="46" spans="1:2" ht="15" thickBot="1">
      <c r="A46" s="74" t="s">
        <v>104</v>
      </c>
      <c r="B46" s="73">
        <v>1</v>
      </c>
    </row>
    <row r="47" spans="1:2" ht="15" thickBot="1">
      <c r="A47" s="74" t="s">
        <v>136</v>
      </c>
      <c r="B47" s="73">
        <v>1</v>
      </c>
    </row>
    <row r="48" spans="1:2" ht="15" thickBot="1">
      <c r="A48" s="74" t="s">
        <v>137</v>
      </c>
      <c r="B48" s="73">
        <v>0</v>
      </c>
    </row>
    <row r="49" spans="1:2" ht="15" thickBot="1">
      <c r="A49" s="74" t="s">
        <v>95</v>
      </c>
      <c r="B49" s="73">
        <v>4</v>
      </c>
    </row>
    <row r="50" spans="1:2" ht="15" thickBot="1">
      <c r="A50" s="74" t="s">
        <v>105</v>
      </c>
      <c r="B50" s="73">
        <v>2</v>
      </c>
    </row>
    <row r="51" spans="1:2" ht="15" thickBot="1">
      <c r="A51" s="74" t="s">
        <v>138</v>
      </c>
      <c r="B51" s="73">
        <v>0</v>
      </c>
    </row>
    <row r="52" spans="1:2" ht="15" thickBot="1">
      <c r="A52" s="74" t="s">
        <v>106</v>
      </c>
      <c r="B52" s="73">
        <v>2</v>
      </c>
    </row>
    <row r="53" spans="1:2" ht="15" thickBot="1">
      <c r="A53" s="74" t="s">
        <v>156</v>
      </c>
      <c r="B53" s="73">
        <v>0</v>
      </c>
    </row>
    <row r="54" spans="1:2" ht="15" thickBot="1">
      <c r="A54" s="74" t="s">
        <v>107</v>
      </c>
      <c r="B54" s="73">
        <v>0</v>
      </c>
    </row>
    <row r="55" spans="1:2" ht="15" thickBot="1">
      <c r="A55" s="74" t="s">
        <v>96</v>
      </c>
      <c r="B55" s="73">
        <v>4</v>
      </c>
    </row>
    <row r="56" spans="1:2" ht="15" thickBot="1">
      <c r="A56" s="74" t="s">
        <v>121</v>
      </c>
      <c r="B56" s="73">
        <v>0</v>
      </c>
    </row>
    <row r="57" spans="1:2" ht="15" thickBot="1">
      <c r="A57" s="79" t="s">
        <v>122</v>
      </c>
      <c r="B57" s="73">
        <v>0</v>
      </c>
    </row>
    <row r="58" spans="1:2" ht="15" thickBot="1">
      <c r="A58" s="74" t="s">
        <v>139</v>
      </c>
      <c r="B58" s="73">
        <v>0</v>
      </c>
    </row>
    <row r="59" spans="1:2" ht="15" thickBot="1">
      <c r="A59" s="74" t="s">
        <v>123</v>
      </c>
      <c r="B59" s="73">
        <v>0</v>
      </c>
    </row>
    <row r="60" spans="1:2" ht="15" thickBot="1">
      <c r="A60" s="74" t="s">
        <v>157</v>
      </c>
      <c r="B60" s="73">
        <v>0</v>
      </c>
    </row>
    <row r="61" spans="1:2" ht="15" thickBot="1">
      <c r="A61" s="74" t="s">
        <v>140</v>
      </c>
      <c r="B61" s="73">
        <v>1</v>
      </c>
    </row>
    <row r="62" spans="1:2" ht="15" thickBot="1">
      <c r="A62" s="74" t="s">
        <v>108</v>
      </c>
      <c r="B62" s="73">
        <v>1</v>
      </c>
    </row>
    <row r="63" spans="1:2" ht="15" thickBot="1">
      <c r="A63" s="74" t="s">
        <v>158</v>
      </c>
      <c r="B63" s="73">
        <v>0</v>
      </c>
    </row>
    <row r="64" spans="1:2" ht="15" thickBot="1">
      <c r="A64" s="74" t="s">
        <v>141</v>
      </c>
      <c r="B64" s="73">
        <v>1</v>
      </c>
    </row>
    <row r="65" spans="1:2" ht="15" thickBot="1">
      <c r="A65" s="74" t="s">
        <v>109</v>
      </c>
      <c r="B65" s="73">
        <v>0</v>
      </c>
    </row>
    <row r="66" spans="1:2" ht="15" thickBot="1">
      <c r="A66" s="74" t="s">
        <v>159</v>
      </c>
      <c r="B66" s="73">
        <v>0</v>
      </c>
    </row>
    <row r="67" spans="1:2" ht="15" thickBot="1">
      <c r="A67" s="74" t="s">
        <v>124</v>
      </c>
      <c r="B67" s="73">
        <v>0</v>
      </c>
    </row>
    <row r="68" spans="1:2" ht="15" thickBot="1">
      <c r="A68" s="79" t="s">
        <v>160</v>
      </c>
      <c r="B68" s="73">
        <v>0</v>
      </c>
    </row>
    <row r="69" spans="1:2" ht="15" thickBot="1">
      <c r="A69" s="74" t="s">
        <v>110</v>
      </c>
      <c r="B69" s="73">
        <v>0</v>
      </c>
    </row>
    <row r="70" spans="1:2" ht="15" thickBot="1">
      <c r="A70" s="74" t="s">
        <v>111</v>
      </c>
      <c r="B70" s="73">
        <v>2</v>
      </c>
    </row>
    <row r="71" spans="1:2" ht="15" thickBot="1">
      <c r="A71" s="74" t="s">
        <v>97</v>
      </c>
      <c r="B71" s="73">
        <v>4</v>
      </c>
    </row>
    <row r="72" spans="1:2" ht="15" thickBot="1">
      <c r="A72" s="74" t="s">
        <v>98</v>
      </c>
      <c r="B72" s="73">
        <v>4</v>
      </c>
    </row>
    <row r="73" spans="1:2" ht="15" thickBot="1">
      <c r="A73" s="74" t="s">
        <v>161</v>
      </c>
      <c r="B73" s="73">
        <v>0</v>
      </c>
    </row>
    <row r="74" spans="1:2" ht="15" thickBot="1">
      <c r="A74" s="74" t="s">
        <v>162</v>
      </c>
      <c r="B74" s="73">
        <v>0</v>
      </c>
    </row>
    <row r="75" spans="1:2" ht="15" thickBot="1">
      <c r="A75" s="74" t="s">
        <v>163</v>
      </c>
      <c r="B75" s="73">
        <v>1</v>
      </c>
    </row>
    <row r="76" spans="1:2" ht="15" thickBot="1">
      <c r="A76" s="74" t="s">
        <v>164</v>
      </c>
      <c r="B76" s="73">
        <v>0</v>
      </c>
    </row>
    <row r="77" spans="1:2" ht="15" thickBot="1">
      <c r="A77" s="74" t="s">
        <v>112</v>
      </c>
      <c r="B77" s="73">
        <v>1</v>
      </c>
    </row>
    <row r="78" spans="1:2" ht="15" thickBot="1">
      <c r="A78" s="74" t="s">
        <v>113</v>
      </c>
      <c r="B78" s="73">
        <v>2</v>
      </c>
    </row>
    <row r="79" spans="1:2" ht="15" thickBot="1">
      <c r="A79" s="74" t="s">
        <v>114</v>
      </c>
      <c r="B79" s="73">
        <v>0</v>
      </c>
    </row>
    <row r="80" spans="1:2" ht="15" thickBot="1">
      <c r="A80" s="74" t="s">
        <v>115</v>
      </c>
      <c r="B80" s="73">
        <v>0</v>
      </c>
    </row>
    <row r="81" spans="1:2" ht="15" thickBot="1">
      <c r="A81" s="74" t="s">
        <v>165</v>
      </c>
      <c r="B81" s="73">
        <v>0</v>
      </c>
    </row>
    <row r="82" spans="1:2" ht="15" thickBot="1">
      <c r="A82" s="74" t="s">
        <v>142</v>
      </c>
      <c r="B82" s="73">
        <v>0</v>
      </c>
    </row>
    <row r="83" spans="1:2" ht="15" thickBot="1">
      <c r="A83" s="74" t="s">
        <v>166</v>
      </c>
      <c r="B83" s="73">
        <v>0</v>
      </c>
    </row>
    <row r="84" spans="1:2" ht="15" thickBot="1">
      <c r="A84" s="74" t="s">
        <v>143</v>
      </c>
      <c r="B84" s="73">
        <v>1</v>
      </c>
    </row>
    <row r="85" spans="1:2" ht="15" thickBot="1">
      <c r="A85" s="74" t="s">
        <v>125</v>
      </c>
      <c r="B85" s="73">
        <v>0</v>
      </c>
    </row>
    <row r="86" spans="1:2" ht="15" thickBot="1">
      <c r="A86" s="74" t="s">
        <v>144</v>
      </c>
      <c r="B86" s="73">
        <v>0</v>
      </c>
    </row>
    <row r="87" spans="1:2" ht="15" thickBot="1">
      <c r="A87" s="74" t="s">
        <v>99</v>
      </c>
      <c r="B87" s="73">
        <v>4</v>
      </c>
    </row>
    <row r="88" spans="1:2" ht="15" thickBot="1">
      <c r="A88" s="74" t="s">
        <v>100</v>
      </c>
      <c r="B88" s="73">
        <v>4</v>
      </c>
    </row>
    <row r="89" spans="1:2" ht="15" thickBot="1">
      <c r="A89" s="74" t="s">
        <v>145</v>
      </c>
      <c r="B89" s="73">
        <v>0</v>
      </c>
    </row>
    <row r="90" spans="1:2" ht="15" thickBot="1">
      <c r="A90" s="74" t="s">
        <v>146</v>
      </c>
      <c r="B90" s="73">
        <v>0</v>
      </c>
    </row>
    <row r="91" spans="1:2" ht="15" thickBot="1">
      <c r="A91" s="74" t="s">
        <v>147</v>
      </c>
      <c r="B91" s="73">
        <v>0</v>
      </c>
    </row>
    <row r="92" spans="1:2" ht="15" thickBot="1">
      <c r="A92" s="79" t="s">
        <v>126</v>
      </c>
      <c r="B92" s="73">
        <v>0</v>
      </c>
    </row>
    <row r="93" spans="1:2" ht="15" thickBot="1">
      <c r="A93" s="74" t="s">
        <v>167</v>
      </c>
      <c r="B93" s="73">
        <v>0</v>
      </c>
    </row>
    <row r="94" spans="1:2" ht="15" thickBot="1">
      <c r="A94" s="74" t="s">
        <v>116</v>
      </c>
      <c r="B94" s="73">
        <v>0</v>
      </c>
    </row>
    <row r="95" spans="1:2" ht="15" thickBot="1">
      <c r="A95" s="74" t="s">
        <v>148</v>
      </c>
      <c r="B95" s="73">
        <v>0</v>
      </c>
    </row>
    <row r="96" spans="1:2" ht="15" thickBot="1">
      <c r="A96" s="75" t="s">
        <v>149</v>
      </c>
      <c r="B96" s="77">
        <v>0</v>
      </c>
    </row>
    <row r="97" spans="1:2" ht="15" thickBot="1">
      <c r="A97" s="74" t="s">
        <v>127</v>
      </c>
      <c r="B97" s="73">
        <v>1</v>
      </c>
    </row>
    <row r="98" spans="1:2" ht="15" thickBot="1">
      <c r="A98" s="74" t="s">
        <v>168</v>
      </c>
      <c r="B98" s="73">
        <v>2</v>
      </c>
    </row>
    <row r="108" spans="1:2">
      <c r="A108" s="76"/>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E1" workbookViewId="0">
      <selection activeCell="B36" sqref="B36"/>
    </sheetView>
  </sheetViews>
  <sheetFormatPr defaultColWidth="8.81640625" defaultRowHeight="14.5"/>
  <cols>
    <col min="1" max="1" width="10.6328125" style="3" customWidth="1"/>
    <col min="2" max="6" width="10.81640625" style="3" bestFit="1" customWidth="1"/>
    <col min="7" max="11" width="10.453125" style="3" bestFit="1" customWidth="1"/>
    <col min="12" max="16" width="10.6328125" style="3" bestFit="1" customWidth="1"/>
    <col min="17" max="17" width="8.81640625" style="3"/>
    <col min="18" max="18" width="11.453125" style="3" bestFit="1" customWidth="1"/>
    <col min="19" max="22" width="15.36328125" style="3" bestFit="1" customWidth="1"/>
    <col min="23" max="23" width="15.453125" style="3" bestFit="1" customWidth="1"/>
    <col min="24" max="24" width="19.1796875" style="3" bestFit="1" customWidth="1"/>
    <col min="25" max="25" width="8.81640625" style="3"/>
    <col min="26" max="26" width="42" style="3" bestFit="1" customWidth="1"/>
    <col min="27" max="27" width="33" style="3" customWidth="1"/>
    <col min="28" max="28" width="25.1796875" style="3" customWidth="1"/>
    <col min="29" max="29" width="13.36328125" style="3" customWidth="1"/>
    <col min="30" max="30" width="19.81640625" style="3" bestFit="1" customWidth="1"/>
    <col min="31" max="31" width="19.81640625" style="3" customWidth="1"/>
    <col min="32" max="32" width="19.6328125" style="3" bestFit="1" customWidth="1"/>
    <col min="33" max="33" width="19.36328125" style="3" bestFit="1" customWidth="1"/>
    <col min="34" max="35" width="15.6328125" style="3" bestFit="1" customWidth="1"/>
    <col min="36" max="16384" width="8.81640625" style="3"/>
  </cols>
  <sheetData>
    <row r="1" spans="1:34" ht="17.75" customHeight="1" thickBot="1">
      <c r="A1" s="1" t="s">
        <v>17</v>
      </c>
      <c r="C1" s="2"/>
      <c r="D1" s="2"/>
      <c r="E1" s="2"/>
      <c r="F1" s="2"/>
      <c r="G1" s="2"/>
      <c r="H1" s="2"/>
      <c r="I1" s="2"/>
      <c r="J1" s="2"/>
      <c r="K1" s="2"/>
      <c r="L1" s="2"/>
      <c r="M1" s="2"/>
      <c r="N1" s="4"/>
      <c r="AD1" s="630" t="s">
        <v>18</v>
      </c>
      <c r="AE1" s="630"/>
      <c r="AF1" s="630"/>
      <c r="AG1" s="630"/>
      <c r="AH1" s="630"/>
    </row>
    <row r="2" spans="1:34" ht="16" thickBot="1">
      <c r="A2" s="2" t="s">
        <v>1</v>
      </c>
      <c r="C2" s="2"/>
      <c r="D2" s="2"/>
      <c r="E2" s="2"/>
      <c r="F2" s="2"/>
      <c r="G2" s="2"/>
      <c r="H2" s="2"/>
      <c r="I2" s="2"/>
      <c r="J2" s="2"/>
      <c r="K2" s="2"/>
      <c r="L2" s="2"/>
      <c r="M2" s="2"/>
      <c r="N2" s="2"/>
      <c r="R2" s="631" t="s">
        <v>19</v>
      </c>
      <c r="S2" s="632"/>
      <c r="T2" s="632"/>
      <c r="U2" s="632"/>
      <c r="V2" s="632"/>
      <c r="W2" s="632"/>
      <c r="X2" s="13"/>
      <c r="Y2" s="14"/>
      <c r="Z2" s="15" t="s">
        <v>20</v>
      </c>
      <c r="AA2" s="16" t="s">
        <v>328</v>
      </c>
      <c r="AB2" s="17">
        <f>D19*30/37</f>
        <v>364257.56756756757</v>
      </c>
      <c r="AD2" s="18" t="s">
        <v>21</v>
      </c>
      <c r="AE2" s="19" t="s">
        <v>22</v>
      </c>
      <c r="AF2" s="20" t="s">
        <v>23</v>
      </c>
      <c r="AG2" s="21" t="s">
        <v>24</v>
      </c>
      <c r="AH2" s="22" t="s">
        <v>25</v>
      </c>
    </row>
    <row r="3" spans="1:34" ht="16" thickBot="1">
      <c r="A3" s="5" t="s">
        <v>2</v>
      </c>
      <c r="B3" s="633" t="s">
        <v>3</v>
      </c>
      <c r="C3" s="634"/>
      <c r="D3" s="634"/>
      <c r="E3" s="634"/>
      <c r="F3" s="635"/>
      <c r="G3" s="633" t="s">
        <v>4</v>
      </c>
      <c r="H3" s="634"/>
      <c r="I3" s="634"/>
      <c r="J3" s="634"/>
      <c r="K3" s="635"/>
      <c r="L3" s="633" t="s">
        <v>5</v>
      </c>
      <c r="M3" s="634"/>
      <c r="N3" s="634"/>
      <c r="O3" s="634"/>
      <c r="P3" s="635"/>
      <c r="R3" s="23" t="s">
        <v>26</v>
      </c>
      <c r="S3" s="24" t="s">
        <v>27</v>
      </c>
      <c r="T3" s="24" t="s">
        <v>28</v>
      </c>
      <c r="U3" s="24" t="s">
        <v>29</v>
      </c>
      <c r="V3" s="24" t="s">
        <v>30</v>
      </c>
      <c r="W3" s="24" t="s">
        <v>31</v>
      </c>
      <c r="X3" s="25" t="s">
        <v>32</v>
      </c>
      <c r="Y3" s="14"/>
      <c r="Z3" s="15" t="s">
        <v>33</v>
      </c>
      <c r="AA3" s="15" t="s">
        <v>326</v>
      </c>
      <c r="AB3" s="26">
        <f>S5*30/37</f>
        <v>1817.0489189189188</v>
      </c>
      <c r="AD3" s="27" t="s">
        <v>34</v>
      </c>
      <c r="AE3" s="28" t="s">
        <v>35</v>
      </c>
      <c r="AF3" s="29">
        <v>99</v>
      </c>
      <c r="AG3" s="30">
        <v>198</v>
      </c>
      <c r="AH3" s="31">
        <f>AF3+AG3</f>
        <v>297</v>
      </c>
    </row>
    <row r="4" spans="1:34" ht="16" thickBot="1">
      <c r="A4" s="6" t="s">
        <v>6</v>
      </c>
      <c r="B4" s="627" t="s">
        <v>7</v>
      </c>
      <c r="C4" s="628"/>
      <c r="D4" s="628"/>
      <c r="E4" s="628"/>
      <c r="F4" s="629"/>
      <c r="G4" s="627" t="s">
        <v>7</v>
      </c>
      <c r="H4" s="628"/>
      <c r="I4" s="628"/>
      <c r="J4" s="628"/>
      <c r="K4" s="629"/>
      <c r="L4" s="627" t="s">
        <v>7</v>
      </c>
      <c r="M4" s="628"/>
      <c r="N4" s="628"/>
      <c r="O4" s="628"/>
      <c r="P4" s="629"/>
      <c r="R4" s="23">
        <v>1000</v>
      </c>
      <c r="S4" s="24">
        <f>R4*1.494018</f>
        <v>1494.018</v>
      </c>
      <c r="T4" s="32">
        <f>S4/12</f>
        <v>124.50150000000001</v>
      </c>
      <c r="U4" s="32">
        <f>S4*16.61/100</f>
        <v>248.1563898</v>
      </c>
      <c r="V4" s="24">
        <f t="shared" ref="V4:V24" si="0">S4+U4</f>
        <v>1742.1743898</v>
      </c>
      <c r="W4" s="33">
        <f t="shared" ref="W4:W24" si="1">S4*17.09/100</f>
        <v>255.32767619999998</v>
      </c>
      <c r="X4" s="25">
        <f t="shared" ref="X4:X24" si="2">S4+W4</f>
        <v>1749.3456762000001</v>
      </c>
      <c r="Y4" s="14"/>
      <c r="Z4" s="15" t="s">
        <v>36</v>
      </c>
      <c r="AA4" s="15" t="s">
        <v>327</v>
      </c>
      <c r="AB4" s="26">
        <f>7900*B36</f>
        <v>12463.434999999999</v>
      </c>
      <c r="AD4" s="27" t="s">
        <v>37</v>
      </c>
      <c r="AE4" s="28" t="s">
        <v>38</v>
      </c>
      <c r="AF4" s="29">
        <v>66</v>
      </c>
      <c r="AG4" s="30">
        <v>132</v>
      </c>
      <c r="AH4" s="31">
        <f t="shared" ref="AH4:AH6" si="3">AF4+AG4</f>
        <v>198</v>
      </c>
    </row>
    <row r="5" spans="1:34" ht="16" thickBot="1">
      <c r="A5" s="7"/>
      <c r="B5" s="34" t="s">
        <v>8</v>
      </c>
      <c r="C5" s="35" t="s">
        <v>9</v>
      </c>
      <c r="D5" s="35" t="s">
        <v>10</v>
      </c>
      <c r="E5" s="35" t="s">
        <v>11</v>
      </c>
      <c r="F5" s="36" t="s">
        <v>12</v>
      </c>
      <c r="G5" s="37" t="s">
        <v>8</v>
      </c>
      <c r="H5" s="35" t="s">
        <v>9</v>
      </c>
      <c r="I5" s="35" t="s">
        <v>10</v>
      </c>
      <c r="J5" s="35" t="s">
        <v>11</v>
      </c>
      <c r="K5" s="36" t="s">
        <v>12</v>
      </c>
      <c r="L5" s="34" t="s">
        <v>8</v>
      </c>
      <c r="M5" s="35" t="s">
        <v>9</v>
      </c>
      <c r="N5" s="35" t="s">
        <v>10</v>
      </c>
      <c r="O5" s="35" t="s">
        <v>11</v>
      </c>
      <c r="P5" s="36" t="s">
        <v>12</v>
      </c>
      <c r="R5" s="38">
        <v>1500</v>
      </c>
      <c r="S5" s="24">
        <f t="shared" ref="S5:S24" si="4">R5*1.494018</f>
        <v>2241.027</v>
      </c>
      <c r="T5" s="32">
        <f t="shared" ref="T5:T24" si="5">S5/12</f>
        <v>186.75225</v>
      </c>
      <c r="U5" s="32">
        <f t="shared" ref="U5:U22" si="6">S5*16.61/100</f>
        <v>372.23458469999997</v>
      </c>
      <c r="V5" s="24">
        <f t="shared" si="0"/>
        <v>2613.2615847000002</v>
      </c>
      <c r="W5" s="33">
        <f t="shared" si="1"/>
        <v>382.99151430000001</v>
      </c>
      <c r="X5" s="25">
        <f t="shared" si="2"/>
        <v>2624.0185142999999</v>
      </c>
      <c r="Y5" s="14"/>
      <c r="Z5" s="39" t="s">
        <v>39</v>
      </c>
      <c r="AA5" s="40"/>
      <c r="AB5" s="41">
        <f>SUM(AB2:AB4)</f>
        <v>378538.05148648651</v>
      </c>
      <c r="AD5" s="27" t="s">
        <v>40</v>
      </c>
      <c r="AE5" s="28" t="s">
        <v>41</v>
      </c>
      <c r="AF5" s="29">
        <v>33</v>
      </c>
      <c r="AG5" s="30">
        <v>66</v>
      </c>
      <c r="AH5" s="31">
        <f t="shared" si="3"/>
        <v>99</v>
      </c>
    </row>
    <row r="6" spans="1:34" ht="16" thickBot="1">
      <c r="A6" s="9">
        <v>28</v>
      </c>
      <c r="B6" s="275">
        <v>358756</v>
      </c>
      <c r="C6" s="276">
        <v>363162</v>
      </c>
      <c r="D6" s="276">
        <v>366212</v>
      </c>
      <c r="E6" s="276">
        <v>370618</v>
      </c>
      <c r="F6" s="277">
        <v>373666</v>
      </c>
      <c r="G6" s="281">
        <v>29896.333333333332</v>
      </c>
      <c r="H6" s="282">
        <v>30263.5</v>
      </c>
      <c r="I6" s="282">
        <v>30517.666666666668</v>
      </c>
      <c r="J6" s="282">
        <v>30884.833333333332</v>
      </c>
      <c r="K6" s="282">
        <v>31138.833333333332</v>
      </c>
      <c r="L6" s="285">
        <v>358756</v>
      </c>
      <c r="M6" s="286">
        <v>363162</v>
      </c>
      <c r="N6" s="286">
        <v>366212</v>
      </c>
      <c r="O6" s="286">
        <v>370618</v>
      </c>
      <c r="P6" s="287">
        <v>373666</v>
      </c>
      <c r="R6" s="23">
        <v>2500</v>
      </c>
      <c r="S6" s="24">
        <f t="shared" si="4"/>
        <v>3735.0450000000001</v>
      </c>
      <c r="T6" s="32">
        <f t="shared" si="5"/>
        <v>311.25375000000003</v>
      </c>
      <c r="U6" s="32">
        <f t="shared" si="6"/>
        <v>620.39097449999997</v>
      </c>
      <c r="V6" s="24">
        <f t="shared" si="0"/>
        <v>4355.4359745000002</v>
      </c>
      <c r="W6" s="33">
        <f t="shared" si="1"/>
        <v>638.31919049999999</v>
      </c>
      <c r="X6" s="25">
        <f t="shared" si="2"/>
        <v>4373.3641905000004</v>
      </c>
      <c r="Y6" s="14"/>
      <c r="Z6" s="39" t="s">
        <v>42</v>
      </c>
      <c r="AA6" s="40"/>
      <c r="AB6" s="41">
        <f>AB5/12</f>
        <v>31544.837623873875</v>
      </c>
      <c r="AD6" s="42" t="s">
        <v>43</v>
      </c>
      <c r="AE6" s="43" t="s">
        <v>44</v>
      </c>
      <c r="AF6" s="44">
        <v>0</v>
      </c>
      <c r="AG6" s="45">
        <v>0</v>
      </c>
      <c r="AH6" s="31">
        <f t="shared" si="3"/>
        <v>0</v>
      </c>
    </row>
    <row r="7" spans="1:34" ht="15.5">
      <c r="A7" s="9">
        <v>29</v>
      </c>
      <c r="B7" s="275">
        <v>364738</v>
      </c>
      <c r="C7" s="276">
        <v>368936</v>
      </c>
      <c r="D7" s="276">
        <v>371841</v>
      </c>
      <c r="E7" s="276">
        <v>376037</v>
      </c>
      <c r="F7" s="277">
        <v>378943</v>
      </c>
      <c r="G7" s="281">
        <v>30394.833333333332</v>
      </c>
      <c r="H7" s="282">
        <v>30744.666666666668</v>
      </c>
      <c r="I7" s="282">
        <v>30986.75</v>
      </c>
      <c r="J7" s="282">
        <v>31336.416666666668</v>
      </c>
      <c r="K7" s="282">
        <v>31578.583333333332</v>
      </c>
      <c r="L7" s="285">
        <v>364738</v>
      </c>
      <c r="M7" s="286">
        <v>368936</v>
      </c>
      <c r="N7" s="286">
        <v>371841</v>
      </c>
      <c r="O7" s="286">
        <v>376037</v>
      </c>
      <c r="P7" s="287">
        <v>378943</v>
      </c>
      <c r="R7" s="23">
        <v>2800</v>
      </c>
      <c r="S7" s="24">
        <f t="shared" si="4"/>
        <v>4183.2503999999999</v>
      </c>
      <c r="T7" s="32">
        <f t="shared" si="5"/>
        <v>348.60419999999999</v>
      </c>
      <c r="U7" s="32">
        <f t="shared" si="6"/>
        <v>694.83789143999991</v>
      </c>
      <c r="V7" s="24">
        <f t="shared" si="0"/>
        <v>4878.0882914399999</v>
      </c>
      <c r="W7" s="33">
        <f t="shared" si="1"/>
        <v>714.91749335999998</v>
      </c>
      <c r="X7" s="25">
        <f t="shared" si="2"/>
        <v>4898.1678933599997</v>
      </c>
      <c r="Y7" s="14"/>
      <c r="Z7" s="14"/>
      <c r="AA7" s="14"/>
      <c r="AB7" s="14"/>
    </row>
    <row r="8" spans="1:34" ht="15.5">
      <c r="A8" s="10">
        <v>30</v>
      </c>
      <c r="B8" s="278">
        <v>370850</v>
      </c>
      <c r="C8" s="279">
        <v>374824</v>
      </c>
      <c r="D8" s="279">
        <v>377577</v>
      </c>
      <c r="E8" s="279">
        <v>381550</v>
      </c>
      <c r="F8" s="280">
        <v>384301</v>
      </c>
      <c r="G8" s="283">
        <v>30904.166666666668</v>
      </c>
      <c r="H8" s="284">
        <v>31235.333333333332</v>
      </c>
      <c r="I8" s="284">
        <v>31464.75</v>
      </c>
      <c r="J8" s="284">
        <v>31795.833333333332</v>
      </c>
      <c r="K8" s="284">
        <v>32025.083333333332</v>
      </c>
      <c r="L8" s="288">
        <v>370850</v>
      </c>
      <c r="M8" s="289">
        <v>374824</v>
      </c>
      <c r="N8" s="289">
        <v>377577</v>
      </c>
      <c r="O8" s="289">
        <v>381550</v>
      </c>
      <c r="P8" s="290">
        <v>384301</v>
      </c>
      <c r="R8" s="23">
        <v>3100</v>
      </c>
      <c r="S8" s="24">
        <f t="shared" si="4"/>
        <v>4631.4558000000006</v>
      </c>
      <c r="T8" s="32">
        <f t="shared" si="5"/>
        <v>385.95465000000007</v>
      </c>
      <c r="U8" s="32">
        <f t="shared" si="6"/>
        <v>769.28480838000007</v>
      </c>
      <c r="V8" s="24">
        <f t="shared" si="0"/>
        <v>5400.7406083800006</v>
      </c>
      <c r="W8" s="33">
        <f t="shared" si="1"/>
        <v>791.51579622000008</v>
      </c>
      <c r="X8" s="25">
        <f t="shared" si="2"/>
        <v>5422.9715962200007</v>
      </c>
      <c r="Y8" s="14"/>
      <c r="Z8" s="46" t="s">
        <v>45</v>
      </c>
      <c r="AA8" s="24"/>
      <c r="AB8" s="24"/>
    </row>
    <row r="9" spans="1:34" ht="15.5">
      <c r="A9" s="9">
        <v>31</v>
      </c>
      <c r="B9" s="275">
        <v>377101</v>
      </c>
      <c r="C9" s="276">
        <v>380840</v>
      </c>
      <c r="D9" s="276">
        <v>383427</v>
      </c>
      <c r="E9" s="276">
        <v>387166</v>
      </c>
      <c r="F9" s="277">
        <v>389754</v>
      </c>
      <c r="G9" s="281">
        <v>31425.083333333332</v>
      </c>
      <c r="H9" s="282">
        <v>31736.666666666668</v>
      </c>
      <c r="I9" s="282">
        <v>31952.25</v>
      </c>
      <c r="J9" s="282">
        <v>32263.833333333332</v>
      </c>
      <c r="K9" s="282">
        <v>32479.5</v>
      </c>
      <c r="L9" s="285">
        <v>377101</v>
      </c>
      <c r="M9" s="286">
        <v>380840</v>
      </c>
      <c r="N9" s="286">
        <v>383427</v>
      </c>
      <c r="O9" s="286">
        <v>387166</v>
      </c>
      <c r="P9" s="287">
        <v>389754</v>
      </c>
      <c r="R9" s="23">
        <v>3400</v>
      </c>
      <c r="S9" s="24">
        <f t="shared" si="4"/>
        <v>5079.6612000000005</v>
      </c>
      <c r="T9" s="32">
        <f t="shared" si="5"/>
        <v>423.30510000000004</v>
      </c>
      <c r="U9" s="32">
        <f t="shared" si="6"/>
        <v>843.73172532000012</v>
      </c>
      <c r="V9" s="24">
        <f t="shared" si="0"/>
        <v>5923.3929253200004</v>
      </c>
      <c r="W9" s="33">
        <f t="shared" si="1"/>
        <v>868.11409907999996</v>
      </c>
      <c r="X9" s="25">
        <f t="shared" si="2"/>
        <v>5947.77529908</v>
      </c>
      <c r="Y9" s="14"/>
      <c r="Z9" s="24" t="s">
        <v>46</v>
      </c>
      <c r="AA9" s="47" t="s">
        <v>329</v>
      </c>
      <c r="AB9" s="48">
        <f>B37*N19*30/100/37</f>
        <v>60503.181972972976</v>
      </c>
    </row>
    <row r="10" spans="1:34" ht="15.5">
      <c r="A10" s="9">
        <v>32</v>
      </c>
      <c r="B10" s="275">
        <v>383490</v>
      </c>
      <c r="C10" s="276">
        <v>386977</v>
      </c>
      <c r="D10" s="276">
        <v>389389</v>
      </c>
      <c r="E10" s="276">
        <v>392877</v>
      </c>
      <c r="F10" s="277">
        <v>395291</v>
      </c>
      <c r="G10" s="281">
        <v>31957.5</v>
      </c>
      <c r="H10" s="282">
        <v>32248.083333333332</v>
      </c>
      <c r="I10" s="282">
        <v>32449.083333333332</v>
      </c>
      <c r="J10" s="282">
        <v>32739.75</v>
      </c>
      <c r="K10" s="282">
        <v>32940.916666666664</v>
      </c>
      <c r="L10" s="285">
        <v>383490</v>
      </c>
      <c r="M10" s="286">
        <v>386977</v>
      </c>
      <c r="N10" s="286">
        <v>389389</v>
      </c>
      <c r="O10" s="286">
        <v>392877</v>
      </c>
      <c r="P10" s="287">
        <v>395291</v>
      </c>
      <c r="R10" s="23">
        <v>3600</v>
      </c>
      <c r="S10" s="24">
        <f t="shared" si="4"/>
        <v>5378.4648000000007</v>
      </c>
      <c r="T10" s="32">
        <f t="shared" si="5"/>
        <v>448.20540000000005</v>
      </c>
      <c r="U10" s="32">
        <f t="shared" si="6"/>
        <v>893.36300328000016</v>
      </c>
      <c r="V10" s="24">
        <f t="shared" si="0"/>
        <v>6271.8278032800008</v>
      </c>
      <c r="W10" s="33">
        <f t="shared" si="1"/>
        <v>919.17963431999999</v>
      </c>
      <c r="X10" s="25">
        <f t="shared" si="2"/>
        <v>6297.644434320001</v>
      </c>
      <c r="Y10" s="14"/>
      <c r="Z10" s="24"/>
      <c r="AA10" s="24" t="s">
        <v>47</v>
      </c>
      <c r="AB10" s="24"/>
      <c r="AD10" s="3" t="s">
        <v>48</v>
      </c>
    </row>
    <row r="11" spans="1:34" ht="15.5">
      <c r="A11" s="9">
        <v>33</v>
      </c>
      <c r="B11" s="275">
        <v>390019</v>
      </c>
      <c r="C11" s="276">
        <v>393239</v>
      </c>
      <c r="D11" s="276">
        <v>395468</v>
      </c>
      <c r="E11" s="276">
        <v>398688</v>
      </c>
      <c r="F11" s="277">
        <v>400916</v>
      </c>
      <c r="G11" s="281">
        <v>32501.583333333332</v>
      </c>
      <c r="H11" s="282">
        <v>32769.916666666664</v>
      </c>
      <c r="I11" s="282">
        <v>32955.666666666664</v>
      </c>
      <c r="J11" s="282">
        <v>33224</v>
      </c>
      <c r="K11" s="282">
        <v>33409.666666666664</v>
      </c>
      <c r="L11" s="285">
        <v>390019</v>
      </c>
      <c r="M11" s="286">
        <v>393239</v>
      </c>
      <c r="N11" s="286">
        <v>395468</v>
      </c>
      <c r="O11" s="286">
        <v>398688</v>
      </c>
      <c r="P11" s="287">
        <v>400916</v>
      </c>
      <c r="R11" s="23">
        <v>3800</v>
      </c>
      <c r="S11" s="24">
        <f t="shared" si="4"/>
        <v>5677.2683999999999</v>
      </c>
      <c r="T11" s="32">
        <f t="shared" si="5"/>
        <v>473.10570000000001</v>
      </c>
      <c r="U11" s="32">
        <f t="shared" si="6"/>
        <v>942.99428123999996</v>
      </c>
      <c r="V11" s="24">
        <f t="shared" si="0"/>
        <v>6620.2626812399994</v>
      </c>
      <c r="W11" s="33">
        <f t="shared" si="1"/>
        <v>970.24516955999991</v>
      </c>
      <c r="X11" s="25">
        <f t="shared" si="2"/>
        <v>6647.5135695600002</v>
      </c>
      <c r="Y11" s="14"/>
      <c r="Z11" s="24" t="s">
        <v>49</v>
      </c>
      <c r="AA11" s="49" t="s">
        <v>322</v>
      </c>
      <c r="AB11" s="24">
        <f>B36*1500*B37/100/37*30</f>
        <v>318.70661959459454</v>
      </c>
    </row>
    <row r="12" spans="1:34" ht="15.5">
      <c r="A12" s="9">
        <v>34</v>
      </c>
      <c r="B12" s="275">
        <v>396699</v>
      </c>
      <c r="C12" s="276">
        <v>399637</v>
      </c>
      <c r="D12" s="276">
        <v>401669</v>
      </c>
      <c r="E12" s="276">
        <v>404606</v>
      </c>
      <c r="F12" s="277">
        <v>406640</v>
      </c>
      <c r="G12" s="281">
        <v>33058.25</v>
      </c>
      <c r="H12" s="282">
        <v>33303.083333333336</v>
      </c>
      <c r="I12" s="282">
        <v>33472.416666666664</v>
      </c>
      <c r="J12" s="282">
        <v>33717.166666666664</v>
      </c>
      <c r="K12" s="282">
        <v>33886.666666666664</v>
      </c>
      <c r="L12" s="285">
        <v>396699</v>
      </c>
      <c r="M12" s="286">
        <v>399637</v>
      </c>
      <c r="N12" s="286">
        <v>401669</v>
      </c>
      <c r="O12" s="286">
        <v>404606</v>
      </c>
      <c r="P12" s="287">
        <v>406640</v>
      </c>
      <c r="R12" s="23">
        <v>4100</v>
      </c>
      <c r="S12" s="24">
        <f t="shared" si="4"/>
        <v>6125.4738000000007</v>
      </c>
      <c r="T12" s="32">
        <f t="shared" si="5"/>
        <v>510.45615000000004</v>
      </c>
      <c r="U12" s="32">
        <f t="shared" si="6"/>
        <v>1017.44119818</v>
      </c>
      <c r="V12" s="24">
        <f t="shared" si="0"/>
        <v>7142.914998180001</v>
      </c>
      <c r="W12" s="33">
        <f t="shared" si="1"/>
        <v>1046.8434724200001</v>
      </c>
      <c r="X12" s="25">
        <f t="shared" si="2"/>
        <v>7172.3172724200012</v>
      </c>
      <c r="Y12" s="14"/>
      <c r="Z12" s="24"/>
      <c r="AA12" s="50" t="s">
        <v>50</v>
      </c>
      <c r="AB12" s="24"/>
    </row>
    <row r="13" spans="1:34" ht="15.5">
      <c r="A13" s="10">
        <v>35</v>
      </c>
      <c r="B13" s="278">
        <v>403519</v>
      </c>
      <c r="C13" s="279">
        <v>406157</v>
      </c>
      <c r="D13" s="279">
        <v>407982</v>
      </c>
      <c r="E13" s="279">
        <v>410618</v>
      </c>
      <c r="F13" s="280">
        <v>412445</v>
      </c>
      <c r="G13" s="283">
        <v>33626.583333333336</v>
      </c>
      <c r="H13" s="284">
        <v>33846.416666666664</v>
      </c>
      <c r="I13" s="284">
        <v>33998.5</v>
      </c>
      <c r="J13" s="284">
        <v>34218.166666666664</v>
      </c>
      <c r="K13" s="284">
        <v>34370.416666666664</v>
      </c>
      <c r="L13" s="288">
        <v>403519</v>
      </c>
      <c r="M13" s="289">
        <v>406157</v>
      </c>
      <c r="N13" s="289">
        <v>407982</v>
      </c>
      <c r="O13" s="289">
        <v>410618</v>
      </c>
      <c r="P13" s="290">
        <v>412445</v>
      </c>
      <c r="R13" s="23">
        <v>4300</v>
      </c>
      <c r="S13" s="24">
        <f t="shared" si="4"/>
        <v>6424.2773999999999</v>
      </c>
      <c r="T13" s="32">
        <f t="shared" si="5"/>
        <v>535.35645</v>
      </c>
      <c r="U13" s="32">
        <f t="shared" si="6"/>
        <v>1067.0724761399999</v>
      </c>
      <c r="V13" s="24">
        <f t="shared" si="0"/>
        <v>7491.3498761399997</v>
      </c>
      <c r="W13" s="33">
        <f t="shared" si="1"/>
        <v>1097.9090076599998</v>
      </c>
      <c r="X13" s="25">
        <f t="shared" si="2"/>
        <v>7522.1864076599995</v>
      </c>
      <c r="Y13" s="14"/>
      <c r="Z13" s="24" t="s">
        <v>51</v>
      </c>
      <c r="AA13" s="49" t="s">
        <v>323</v>
      </c>
      <c r="AB13" s="24">
        <f>B36*B37*7900/100</f>
        <v>2070.1765535</v>
      </c>
    </row>
    <row r="14" spans="1:34" ht="15.5">
      <c r="A14" s="9">
        <v>36</v>
      </c>
      <c r="B14" s="275">
        <v>410495</v>
      </c>
      <c r="C14" s="276">
        <v>412816</v>
      </c>
      <c r="D14" s="276">
        <v>414420</v>
      </c>
      <c r="E14" s="276">
        <v>416739</v>
      </c>
      <c r="F14" s="277">
        <v>418345</v>
      </c>
      <c r="G14" s="281">
        <v>34207.916666666664</v>
      </c>
      <c r="H14" s="282">
        <v>34401.333333333336</v>
      </c>
      <c r="I14" s="282">
        <v>34535</v>
      </c>
      <c r="J14" s="282">
        <v>34728.25</v>
      </c>
      <c r="K14" s="282">
        <v>34862.083333333336</v>
      </c>
      <c r="L14" s="285">
        <v>410495</v>
      </c>
      <c r="M14" s="286">
        <v>412816</v>
      </c>
      <c r="N14" s="286">
        <v>414420</v>
      </c>
      <c r="O14" s="286">
        <v>416739</v>
      </c>
      <c r="P14" s="287">
        <v>418345</v>
      </c>
      <c r="R14" s="23">
        <v>4800</v>
      </c>
      <c r="S14" s="24">
        <f t="shared" si="4"/>
        <v>7171.2864</v>
      </c>
      <c r="T14" s="32">
        <f t="shared" si="5"/>
        <v>597.60720000000003</v>
      </c>
      <c r="U14" s="32">
        <f t="shared" si="6"/>
        <v>1191.1506710399999</v>
      </c>
      <c r="V14" s="24">
        <f t="shared" si="0"/>
        <v>8362.4370710399999</v>
      </c>
      <c r="W14" s="33">
        <f t="shared" si="1"/>
        <v>1225.5728457600001</v>
      </c>
      <c r="X14" s="25">
        <f t="shared" si="2"/>
        <v>8396.8592457600007</v>
      </c>
      <c r="Y14" s="14"/>
      <c r="Z14" s="46"/>
      <c r="AA14" s="51">
        <v>100</v>
      </c>
    </row>
    <row r="15" spans="1:34" ht="15.5">
      <c r="A15" s="9">
        <v>37</v>
      </c>
      <c r="B15" s="275">
        <v>417623</v>
      </c>
      <c r="C15" s="276">
        <v>419606</v>
      </c>
      <c r="D15" s="276">
        <v>420980</v>
      </c>
      <c r="E15" s="276">
        <v>422963</v>
      </c>
      <c r="F15" s="277">
        <v>424336</v>
      </c>
      <c r="G15" s="281">
        <v>34801.916666666664</v>
      </c>
      <c r="H15" s="282">
        <v>34967.166666666664</v>
      </c>
      <c r="I15" s="282">
        <v>35081.666666666664</v>
      </c>
      <c r="J15" s="282">
        <v>35246.916666666664</v>
      </c>
      <c r="K15" s="282">
        <v>35361.333333333336</v>
      </c>
      <c r="L15" s="285">
        <v>417623</v>
      </c>
      <c r="M15" s="286">
        <v>419606</v>
      </c>
      <c r="N15" s="286">
        <v>420980</v>
      </c>
      <c r="O15" s="286">
        <v>422963</v>
      </c>
      <c r="P15" s="287">
        <v>424336</v>
      </c>
      <c r="R15" s="23">
        <v>4900</v>
      </c>
      <c r="S15" s="24">
        <f t="shared" si="4"/>
        <v>7320.6882000000005</v>
      </c>
      <c r="T15" s="32">
        <f t="shared" si="5"/>
        <v>610.05735000000004</v>
      </c>
      <c r="U15" s="32">
        <f t="shared" si="6"/>
        <v>1215.96631002</v>
      </c>
      <c r="V15" s="24">
        <f t="shared" si="0"/>
        <v>8536.6545100200001</v>
      </c>
      <c r="W15" s="33">
        <f t="shared" si="1"/>
        <v>1251.1056133800002</v>
      </c>
      <c r="X15" s="25">
        <f t="shared" si="2"/>
        <v>8571.7938133800017</v>
      </c>
      <c r="Y15" s="14"/>
      <c r="Z15" s="46" t="s">
        <v>52</v>
      </c>
      <c r="AA15" s="51"/>
      <c r="AB15" s="46">
        <f>SUM(AB9:AB13)</f>
        <v>62892.065146067573</v>
      </c>
    </row>
    <row r="16" spans="1:34" ht="15.5">
      <c r="A16" s="9">
        <v>38</v>
      </c>
      <c r="B16" s="275">
        <v>425189</v>
      </c>
      <c r="C16" s="276">
        <v>426849</v>
      </c>
      <c r="D16" s="276">
        <v>427999</v>
      </c>
      <c r="E16" s="276">
        <v>429658</v>
      </c>
      <c r="F16" s="277">
        <v>430810</v>
      </c>
      <c r="G16" s="281">
        <v>35432.416666666664</v>
      </c>
      <c r="H16" s="282">
        <v>35570.75</v>
      </c>
      <c r="I16" s="282">
        <v>35666.583333333336</v>
      </c>
      <c r="J16" s="282">
        <v>35804.833333333336</v>
      </c>
      <c r="K16" s="282">
        <v>35900.833333333336</v>
      </c>
      <c r="L16" s="285">
        <v>425189</v>
      </c>
      <c r="M16" s="286">
        <v>426849</v>
      </c>
      <c r="N16" s="286">
        <v>427999</v>
      </c>
      <c r="O16" s="286">
        <v>429658</v>
      </c>
      <c r="P16" s="287">
        <v>430810</v>
      </c>
      <c r="R16" s="23">
        <v>5200</v>
      </c>
      <c r="S16" s="24">
        <f t="shared" si="4"/>
        <v>7768.8936000000003</v>
      </c>
      <c r="T16" s="32">
        <f t="shared" si="5"/>
        <v>647.40780000000007</v>
      </c>
      <c r="U16" s="32">
        <f t="shared" si="6"/>
        <v>1290.41322696</v>
      </c>
      <c r="V16" s="24">
        <f t="shared" si="0"/>
        <v>9059.3068269600008</v>
      </c>
      <c r="W16" s="33">
        <f t="shared" si="1"/>
        <v>1327.7039162400001</v>
      </c>
      <c r="X16" s="25">
        <f t="shared" si="2"/>
        <v>9096.5975162400009</v>
      </c>
      <c r="Y16" s="14"/>
      <c r="Z16" s="46" t="s">
        <v>53</v>
      </c>
      <c r="AA16" s="48"/>
      <c r="AB16" s="46">
        <f>AB15/12</f>
        <v>5241.0054288389647</v>
      </c>
    </row>
    <row r="17" spans="1:28" ht="15.5">
      <c r="A17" s="9">
        <v>39</v>
      </c>
      <c r="B17" s="275">
        <v>432786</v>
      </c>
      <c r="C17" s="276">
        <v>434064</v>
      </c>
      <c r="D17" s="276">
        <v>434949</v>
      </c>
      <c r="E17" s="276">
        <v>436227</v>
      </c>
      <c r="F17" s="277">
        <v>437113</v>
      </c>
      <c r="G17" s="281">
        <v>36065.5</v>
      </c>
      <c r="H17" s="282">
        <v>36172</v>
      </c>
      <c r="I17" s="282">
        <v>36245.75</v>
      </c>
      <c r="J17" s="282">
        <v>36352.25</v>
      </c>
      <c r="K17" s="282">
        <v>36426.083333333336</v>
      </c>
      <c r="L17" s="285">
        <v>432786</v>
      </c>
      <c r="M17" s="286">
        <v>434064</v>
      </c>
      <c r="N17" s="286">
        <v>434949</v>
      </c>
      <c r="O17" s="286">
        <v>436227</v>
      </c>
      <c r="P17" s="287">
        <v>437113</v>
      </c>
      <c r="R17" s="23">
        <v>6000</v>
      </c>
      <c r="S17" s="24">
        <f t="shared" si="4"/>
        <v>8964.1080000000002</v>
      </c>
      <c r="T17" s="32">
        <f t="shared" si="5"/>
        <v>747.00900000000001</v>
      </c>
      <c r="U17" s="32">
        <f t="shared" si="6"/>
        <v>1488.9383387999999</v>
      </c>
      <c r="V17" s="24">
        <f t="shared" si="0"/>
        <v>10453.046338800001</v>
      </c>
      <c r="W17" s="33">
        <f t="shared" si="1"/>
        <v>1531.9660572</v>
      </c>
      <c r="X17" s="25">
        <f t="shared" si="2"/>
        <v>10496.0740572</v>
      </c>
      <c r="Y17" s="14"/>
      <c r="Z17" s="14"/>
      <c r="AA17" s="14"/>
      <c r="AB17" s="14"/>
    </row>
    <row r="18" spans="1:28" ht="15.5">
      <c r="A18" s="10">
        <v>40</v>
      </c>
      <c r="B18" s="278">
        <v>440554</v>
      </c>
      <c r="C18" s="279">
        <v>441428</v>
      </c>
      <c r="D18" s="279">
        <v>442034</v>
      </c>
      <c r="E18" s="279">
        <v>442909</v>
      </c>
      <c r="F18" s="280">
        <v>443515</v>
      </c>
      <c r="G18" s="283">
        <v>36712.833333333336</v>
      </c>
      <c r="H18" s="284">
        <v>36785.666666666664</v>
      </c>
      <c r="I18" s="284">
        <v>36836.166666666664</v>
      </c>
      <c r="J18" s="284">
        <v>36909.083333333336</v>
      </c>
      <c r="K18" s="284">
        <v>36959.583333333336</v>
      </c>
      <c r="L18" s="288">
        <v>440554</v>
      </c>
      <c r="M18" s="289">
        <v>441428</v>
      </c>
      <c r="N18" s="289">
        <v>442034</v>
      </c>
      <c r="O18" s="289">
        <v>442909</v>
      </c>
      <c r="P18" s="290">
        <v>443515</v>
      </c>
      <c r="R18" s="23">
        <v>7000</v>
      </c>
      <c r="S18" s="24">
        <f t="shared" si="4"/>
        <v>10458.126</v>
      </c>
      <c r="T18" s="32">
        <f t="shared" si="5"/>
        <v>871.51049999999998</v>
      </c>
      <c r="U18" s="32">
        <f t="shared" si="6"/>
        <v>1737.0947286000001</v>
      </c>
      <c r="V18" s="24">
        <f t="shared" si="0"/>
        <v>12195.220728600001</v>
      </c>
      <c r="W18" s="33">
        <f t="shared" si="1"/>
        <v>1787.2937333999998</v>
      </c>
      <c r="X18" s="25">
        <f t="shared" si="2"/>
        <v>12245.4197334</v>
      </c>
      <c r="Y18" s="14"/>
      <c r="Z18" s="52" t="s">
        <v>54</v>
      </c>
      <c r="AA18" s="33"/>
      <c r="AB18" s="33"/>
    </row>
    <row r="19" spans="1:28" ht="15.5">
      <c r="A19" s="9">
        <v>41</v>
      </c>
      <c r="B19" s="275">
        <v>448491</v>
      </c>
      <c r="C19" s="276">
        <v>448939</v>
      </c>
      <c r="D19" s="276">
        <v>449251</v>
      </c>
      <c r="E19" s="276">
        <v>449698</v>
      </c>
      <c r="F19" s="277">
        <v>450010</v>
      </c>
      <c r="G19" s="281">
        <v>37374.25</v>
      </c>
      <c r="H19" s="282">
        <v>37411.583333333336</v>
      </c>
      <c r="I19" s="282">
        <v>37437.583333333336</v>
      </c>
      <c r="J19" s="282">
        <v>37474.833333333336</v>
      </c>
      <c r="K19" s="282">
        <v>37500.833333333336</v>
      </c>
      <c r="L19" s="285">
        <v>448491</v>
      </c>
      <c r="M19" s="286">
        <v>448939</v>
      </c>
      <c r="N19" s="286">
        <v>449251</v>
      </c>
      <c r="O19" s="286">
        <v>449698</v>
      </c>
      <c r="P19" s="287">
        <v>450010</v>
      </c>
      <c r="R19" s="53">
        <v>8100</v>
      </c>
      <c r="S19" s="24">
        <f t="shared" si="4"/>
        <v>12101.5458</v>
      </c>
      <c r="T19" s="32">
        <f t="shared" si="5"/>
        <v>1008.46215</v>
      </c>
      <c r="U19" s="32">
        <f t="shared" si="6"/>
        <v>2010.0667573799999</v>
      </c>
      <c r="V19" s="24">
        <f t="shared" si="0"/>
        <v>14111.61255738</v>
      </c>
      <c r="W19" s="33">
        <f t="shared" si="1"/>
        <v>2068.1541772199998</v>
      </c>
      <c r="X19" s="25">
        <f t="shared" si="2"/>
        <v>14169.69997722</v>
      </c>
      <c r="Y19" s="14"/>
      <c r="Z19" s="33" t="s">
        <v>55</v>
      </c>
      <c r="AA19" s="33"/>
      <c r="AB19" s="54">
        <f>E28</f>
        <v>606329</v>
      </c>
    </row>
    <row r="20" spans="1:28" ht="15.5">
      <c r="A20" s="9">
        <v>42</v>
      </c>
      <c r="B20" s="275">
        <v>456600</v>
      </c>
      <c r="C20" s="276">
        <v>456600</v>
      </c>
      <c r="D20" s="276">
        <v>456600</v>
      </c>
      <c r="E20" s="276">
        <v>456600</v>
      </c>
      <c r="F20" s="277">
        <v>456600</v>
      </c>
      <c r="G20" s="281">
        <v>38050</v>
      </c>
      <c r="H20" s="282">
        <v>38050</v>
      </c>
      <c r="I20" s="282">
        <v>38050</v>
      </c>
      <c r="J20" s="282">
        <v>38050</v>
      </c>
      <c r="K20" s="282">
        <v>38050</v>
      </c>
      <c r="L20" s="285">
        <v>456600</v>
      </c>
      <c r="M20" s="286">
        <v>456600</v>
      </c>
      <c r="N20" s="286">
        <v>456600</v>
      </c>
      <c r="O20" s="286">
        <v>456600</v>
      </c>
      <c r="P20" s="287">
        <v>456600</v>
      </c>
      <c r="R20" s="53">
        <v>9100</v>
      </c>
      <c r="S20" s="24">
        <f t="shared" si="4"/>
        <v>13595.5638</v>
      </c>
      <c r="T20" s="32">
        <f t="shared" si="5"/>
        <v>1132.9636499999999</v>
      </c>
      <c r="U20" s="32">
        <f t="shared" si="6"/>
        <v>2258.2231471799996</v>
      </c>
      <c r="V20" s="24">
        <f t="shared" si="0"/>
        <v>15853.78694718</v>
      </c>
      <c r="W20" s="33">
        <f t="shared" si="1"/>
        <v>2323.4818534199999</v>
      </c>
      <c r="X20" s="25">
        <f t="shared" si="2"/>
        <v>15919.04565342</v>
      </c>
      <c r="Y20" s="14"/>
      <c r="Z20" s="33" t="s">
        <v>56</v>
      </c>
      <c r="AA20" s="33" t="s">
        <v>324</v>
      </c>
      <c r="AB20" s="33">
        <f>30000*B36</f>
        <v>47329.5</v>
      </c>
    </row>
    <row r="21" spans="1:28" ht="15.5">
      <c r="A21" s="9">
        <v>43</v>
      </c>
      <c r="B21" s="275">
        <v>466748</v>
      </c>
      <c r="C21" s="276">
        <v>466748</v>
      </c>
      <c r="D21" s="276">
        <v>466748</v>
      </c>
      <c r="E21" s="276">
        <v>466748</v>
      </c>
      <c r="F21" s="277">
        <v>466748</v>
      </c>
      <c r="G21" s="281">
        <v>38895.666666666664</v>
      </c>
      <c r="H21" s="282">
        <v>38895.666666666664</v>
      </c>
      <c r="I21" s="282">
        <v>38895.666666666664</v>
      </c>
      <c r="J21" s="282">
        <v>38895.666666666664</v>
      </c>
      <c r="K21" s="282">
        <v>38895.666666666664</v>
      </c>
      <c r="L21" s="285">
        <v>466748</v>
      </c>
      <c r="M21" s="286">
        <v>466748</v>
      </c>
      <c r="N21" s="286">
        <v>466748</v>
      </c>
      <c r="O21" s="286">
        <v>466748</v>
      </c>
      <c r="P21" s="287">
        <v>466748</v>
      </c>
      <c r="R21" s="53">
        <v>12000</v>
      </c>
      <c r="S21" s="24">
        <f t="shared" si="4"/>
        <v>17928.216</v>
      </c>
      <c r="T21" s="32">
        <f t="shared" si="5"/>
        <v>1494.018</v>
      </c>
      <c r="U21" s="32">
        <f t="shared" si="6"/>
        <v>2977.8766775999998</v>
      </c>
      <c r="V21" s="24">
        <f t="shared" si="0"/>
        <v>20906.092677600001</v>
      </c>
      <c r="W21" s="33">
        <f t="shared" si="1"/>
        <v>3063.9321144</v>
      </c>
      <c r="X21" s="25">
        <f t="shared" si="2"/>
        <v>20992.148114399999</v>
      </c>
      <c r="Y21" s="14"/>
      <c r="Z21" s="52" t="s">
        <v>57</v>
      </c>
      <c r="AA21" s="33"/>
      <c r="AB21" s="52">
        <f>SUM(AB19:AB20)</f>
        <v>653658.5</v>
      </c>
    </row>
    <row r="22" spans="1:28" ht="15.5">
      <c r="A22" s="9">
        <v>44</v>
      </c>
      <c r="B22" s="275">
        <v>477176</v>
      </c>
      <c r="C22" s="276">
        <v>477176</v>
      </c>
      <c r="D22" s="276">
        <v>477176</v>
      </c>
      <c r="E22" s="276">
        <v>477176</v>
      </c>
      <c r="F22" s="277">
        <v>477176</v>
      </c>
      <c r="G22" s="281">
        <v>39764.666666666664</v>
      </c>
      <c r="H22" s="282">
        <v>39764.666666666664</v>
      </c>
      <c r="I22" s="282">
        <v>39764.666666666664</v>
      </c>
      <c r="J22" s="282">
        <v>39764.666666666664</v>
      </c>
      <c r="K22" s="282">
        <v>39764.666666666664</v>
      </c>
      <c r="L22" s="285">
        <v>477176</v>
      </c>
      <c r="M22" s="286">
        <v>477176</v>
      </c>
      <c r="N22" s="286">
        <v>477176</v>
      </c>
      <c r="O22" s="286">
        <v>477176</v>
      </c>
      <c r="P22" s="287">
        <v>477176</v>
      </c>
      <c r="R22" s="53">
        <v>20300</v>
      </c>
      <c r="S22" s="24">
        <f t="shared" si="4"/>
        <v>30328.565400000003</v>
      </c>
      <c r="T22" s="32">
        <f t="shared" si="5"/>
        <v>2527.3804500000001</v>
      </c>
      <c r="U22" s="32">
        <f t="shared" si="6"/>
        <v>5037.5747129400006</v>
      </c>
      <c r="V22" s="24">
        <f t="shared" si="0"/>
        <v>35366.140112940004</v>
      </c>
      <c r="W22" s="33">
        <f t="shared" si="1"/>
        <v>5183.1518268600012</v>
      </c>
      <c r="X22" s="25">
        <f t="shared" si="2"/>
        <v>35511.717226860004</v>
      </c>
      <c r="Y22" s="14"/>
      <c r="Z22" s="52" t="s">
        <v>58</v>
      </c>
      <c r="AA22" s="33"/>
      <c r="AB22" s="52">
        <f>AB21/12</f>
        <v>54471.541666666664</v>
      </c>
    </row>
    <row r="23" spans="1:28" ht="15.5">
      <c r="A23" s="10">
        <v>45</v>
      </c>
      <c r="B23" s="278">
        <v>487890</v>
      </c>
      <c r="C23" s="279">
        <v>487890</v>
      </c>
      <c r="D23" s="279">
        <v>487890</v>
      </c>
      <c r="E23" s="279">
        <v>487890</v>
      </c>
      <c r="F23" s="280">
        <v>487890</v>
      </c>
      <c r="G23" s="283">
        <v>40657.5</v>
      </c>
      <c r="H23" s="284">
        <v>40657.5</v>
      </c>
      <c r="I23" s="284">
        <v>40657.5</v>
      </c>
      <c r="J23" s="284">
        <v>40657.5</v>
      </c>
      <c r="K23" s="284">
        <v>40657.5</v>
      </c>
      <c r="L23" s="288">
        <v>487890</v>
      </c>
      <c r="M23" s="289">
        <v>487890</v>
      </c>
      <c r="N23" s="289">
        <v>487890</v>
      </c>
      <c r="O23" s="289">
        <v>487890</v>
      </c>
      <c r="P23" s="290">
        <v>487890</v>
      </c>
      <c r="R23" s="53">
        <v>30600</v>
      </c>
      <c r="S23" s="24">
        <f t="shared" si="4"/>
        <v>45716.950799999999</v>
      </c>
      <c r="T23" s="32">
        <f t="shared" si="5"/>
        <v>3809.7458999999999</v>
      </c>
      <c r="U23" s="32">
        <f>S23*16.61/100</f>
        <v>7593.58552788</v>
      </c>
      <c r="V23" s="24">
        <f t="shared" si="0"/>
        <v>53310.53632788</v>
      </c>
      <c r="W23" s="33">
        <f t="shared" si="1"/>
        <v>7813.0268917199992</v>
      </c>
      <c r="X23" s="25">
        <f t="shared" si="2"/>
        <v>53529.97769172</v>
      </c>
      <c r="Y23" s="14"/>
      <c r="Z23" s="33"/>
      <c r="AA23" s="33"/>
      <c r="AB23" s="33"/>
    </row>
    <row r="24" spans="1:28" ht="16" thickBot="1">
      <c r="A24" s="9">
        <v>46</v>
      </c>
      <c r="B24" s="275">
        <v>498899</v>
      </c>
      <c r="C24" s="276">
        <v>498899</v>
      </c>
      <c r="D24" s="276">
        <v>498899</v>
      </c>
      <c r="E24" s="276">
        <v>498899</v>
      </c>
      <c r="F24" s="277">
        <v>498899</v>
      </c>
      <c r="G24" s="281">
        <v>41574.916666666664</v>
      </c>
      <c r="H24" s="282">
        <v>41574.916666666664</v>
      </c>
      <c r="I24" s="282">
        <v>41574.916666666664</v>
      </c>
      <c r="J24" s="282">
        <v>41574.916666666664</v>
      </c>
      <c r="K24" s="282">
        <v>41574.916666666664</v>
      </c>
      <c r="L24" s="285">
        <v>498899</v>
      </c>
      <c r="M24" s="286">
        <v>498899</v>
      </c>
      <c r="N24" s="286">
        <v>498899</v>
      </c>
      <c r="O24" s="286">
        <v>498899</v>
      </c>
      <c r="P24" s="287">
        <v>498899</v>
      </c>
      <c r="R24" s="55">
        <v>41000</v>
      </c>
      <c r="S24" s="56">
        <f t="shared" si="4"/>
        <v>61254.738000000005</v>
      </c>
      <c r="T24" s="57">
        <f t="shared" si="5"/>
        <v>5104.5615000000007</v>
      </c>
      <c r="U24" s="57">
        <f t="shared" ref="U24" si="7">S24*16.61/100</f>
        <v>10174.4119818</v>
      </c>
      <c r="V24" s="56">
        <f t="shared" si="0"/>
        <v>71429.149981800001</v>
      </c>
      <c r="W24" s="58">
        <f t="shared" si="1"/>
        <v>10468.4347242</v>
      </c>
      <c r="X24" s="59">
        <f t="shared" si="2"/>
        <v>71723.172724200005</v>
      </c>
      <c r="Y24" s="14"/>
      <c r="Z24" s="14"/>
      <c r="AA24" s="14"/>
      <c r="AB24" s="14"/>
    </row>
    <row r="25" spans="1:28" ht="15.5">
      <c r="A25" s="9">
        <v>47</v>
      </c>
      <c r="B25" s="275">
        <v>507779</v>
      </c>
      <c r="C25" s="276">
        <v>507779</v>
      </c>
      <c r="D25" s="276">
        <v>507779</v>
      </c>
      <c r="E25" s="276">
        <v>507779</v>
      </c>
      <c r="F25" s="277">
        <v>507779</v>
      </c>
      <c r="G25" s="281">
        <v>42314.916666666664</v>
      </c>
      <c r="H25" s="282">
        <v>42314.916666666664</v>
      </c>
      <c r="I25" s="282">
        <v>42314.916666666664</v>
      </c>
      <c r="J25" s="282">
        <v>42314.916666666664</v>
      </c>
      <c r="K25" s="282">
        <v>42314.916666666664</v>
      </c>
      <c r="L25" s="285">
        <v>507779</v>
      </c>
      <c r="M25" s="286">
        <v>507779</v>
      </c>
      <c r="N25" s="286">
        <v>507779</v>
      </c>
      <c r="O25" s="286">
        <v>507779</v>
      </c>
      <c r="P25" s="287">
        <v>507779</v>
      </c>
      <c r="R25" s="14"/>
      <c r="S25" s="14"/>
      <c r="T25" s="14"/>
      <c r="U25" s="14"/>
      <c r="V25" s="14"/>
      <c r="W25" s="14"/>
      <c r="X25" s="14"/>
      <c r="Y25" s="14"/>
      <c r="Z25" s="14"/>
      <c r="AA25" s="14" t="s">
        <v>59</v>
      </c>
      <c r="AB25" s="60">
        <f>O28</f>
        <v>620630</v>
      </c>
    </row>
    <row r="26" spans="1:28" ht="15.5">
      <c r="A26" s="9">
        <v>48</v>
      </c>
      <c r="B26" s="275">
        <v>531121</v>
      </c>
      <c r="C26" s="276">
        <v>531121</v>
      </c>
      <c r="D26" s="276">
        <v>531121</v>
      </c>
      <c r="E26" s="276">
        <v>531121</v>
      </c>
      <c r="F26" s="277">
        <v>531121</v>
      </c>
      <c r="G26" s="281">
        <v>44260.083333333336</v>
      </c>
      <c r="H26" s="282">
        <v>44260.083333333336</v>
      </c>
      <c r="I26" s="282">
        <v>44260.083333333336</v>
      </c>
      <c r="J26" s="282">
        <v>44260.083333333336</v>
      </c>
      <c r="K26" s="282">
        <v>44260.083333333336</v>
      </c>
      <c r="L26" s="285">
        <v>531121</v>
      </c>
      <c r="M26" s="286">
        <v>531121</v>
      </c>
      <c r="N26" s="286">
        <v>531121</v>
      </c>
      <c r="O26" s="286">
        <v>531121</v>
      </c>
      <c r="P26" s="287">
        <v>531121</v>
      </c>
      <c r="R26" s="14"/>
      <c r="S26" s="14"/>
      <c r="T26" s="14"/>
      <c r="U26" s="14"/>
      <c r="V26" s="14"/>
      <c r="W26" s="14"/>
      <c r="X26" s="14"/>
      <c r="Y26" s="14"/>
      <c r="Z26" s="46" t="s">
        <v>60</v>
      </c>
      <c r="AA26" s="24"/>
    </row>
    <row r="27" spans="1:28" ht="15.5">
      <c r="A27" s="9">
        <v>49</v>
      </c>
      <c r="B27" s="275">
        <v>566764</v>
      </c>
      <c r="C27" s="276">
        <v>566764</v>
      </c>
      <c r="D27" s="276">
        <v>566764</v>
      </c>
      <c r="E27" s="276">
        <v>566764</v>
      </c>
      <c r="F27" s="277">
        <v>566764</v>
      </c>
      <c r="G27" s="281">
        <v>47230.333333333336</v>
      </c>
      <c r="H27" s="282">
        <v>47230.333333333336</v>
      </c>
      <c r="I27" s="282">
        <v>47230.333333333336</v>
      </c>
      <c r="J27" s="282">
        <v>47230.333333333336</v>
      </c>
      <c r="K27" s="282">
        <v>47230.333333333336</v>
      </c>
      <c r="L27" s="285">
        <v>566764</v>
      </c>
      <c r="M27" s="286">
        <v>566764</v>
      </c>
      <c r="N27" s="286">
        <v>566764</v>
      </c>
      <c r="O27" s="286">
        <v>566764</v>
      </c>
      <c r="P27" s="287">
        <v>566764</v>
      </c>
      <c r="X27" s="14"/>
      <c r="Y27" s="14"/>
      <c r="Z27" s="61" t="s">
        <v>61</v>
      </c>
      <c r="AA27" s="62" t="s">
        <v>330</v>
      </c>
      <c r="AB27" s="63"/>
    </row>
    <row r="28" spans="1:28" ht="15.5">
      <c r="A28" s="10">
        <v>50</v>
      </c>
      <c r="B28" s="278">
        <v>606329</v>
      </c>
      <c r="C28" s="279">
        <v>606329</v>
      </c>
      <c r="D28" s="279">
        <v>606329</v>
      </c>
      <c r="E28" s="279">
        <v>606329</v>
      </c>
      <c r="F28" s="280">
        <v>606329</v>
      </c>
      <c r="G28" s="283">
        <v>50527.416666666664</v>
      </c>
      <c r="H28" s="284">
        <v>50527.416666666664</v>
      </c>
      <c r="I28" s="284">
        <v>50527.416666666664</v>
      </c>
      <c r="J28" s="284">
        <v>50527.416666666664</v>
      </c>
      <c r="K28" s="284">
        <v>50527.416666666664</v>
      </c>
      <c r="L28" s="288">
        <v>620630</v>
      </c>
      <c r="M28" s="289">
        <v>620630</v>
      </c>
      <c r="N28" s="289">
        <v>620630</v>
      </c>
      <c r="O28" s="289">
        <v>620630</v>
      </c>
      <c r="P28" s="290">
        <v>620630</v>
      </c>
      <c r="X28" s="14"/>
      <c r="Y28" s="14"/>
      <c r="Z28" s="61"/>
      <c r="AA28" s="64">
        <v>100</v>
      </c>
      <c r="AB28" s="63">
        <f>B38*O28/100</f>
        <v>106065.66699999999</v>
      </c>
    </row>
    <row r="29" spans="1:28" ht="15.5">
      <c r="A29" s="9">
        <v>51</v>
      </c>
      <c r="B29" s="275">
        <v>669735</v>
      </c>
      <c r="C29" s="276">
        <v>669735</v>
      </c>
      <c r="D29" s="276">
        <v>669735</v>
      </c>
      <c r="E29" s="276">
        <v>669735</v>
      </c>
      <c r="F29" s="277">
        <v>669735</v>
      </c>
      <c r="G29" s="281">
        <v>55811.25</v>
      </c>
      <c r="H29" s="282">
        <v>55811.25</v>
      </c>
      <c r="I29" s="282">
        <v>55811.25</v>
      </c>
      <c r="J29" s="282">
        <v>55811.25</v>
      </c>
      <c r="K29" s="282">
        <v>55811.25</v>
      </c>
      <c r="L29" s="285">
        <v>687762</v>
      </c>
      <c r="M29" s="286">
        <v>687762</v>
      </c>
      <c r="N29" s="286">
        <v>687762</v>
      </c>
      <c r="O29" s="286">
        <v>687762</v>
      </c>
      <c r="P29" s="287">
        <v>687762</v>
      </c>
      <c r="X29" s="14"/>
      <c r="Y29" s="14"/>
      <c r="Z29" s="61" t="s">
        <v>62</v>
      </c>
      <c r="AA29" s="62" t="s">
        <v>325</v>
      </c>
      <c r="AB29" s="61"/>
    </row>
    <row r="30" spans="1:28" ht="15.5">
      <c r="A30" s="9">
        <v>52</v>
      </c>
      <c r="B30" s="275">
        <v>762074</v>
      </c>
      <c r="C30" s="276">
        <v>762074</v>
      </c>
      <c r="D30" s="276">
        <v>762074</v>
      </c>
      <c r="E30" s="276">
        <v>762074</v>
      </c>
      <c r="F30" s="277">
        <v>762074</v>
      </c>
      <c r="G30" s="281">
        <v>63506.166666666664</v>
      </c>
      <c r="H30" s="282">
        <v>63506.166666666664</v>
      </c>
      <c r="I30" s="282">
        <v>63506.166666666664</v>
      </c>
      <c r="J30" s="282">
        <v>63506.166666666664</v>
      </c>
      <c r="K30" s="282">
        <v>63506.166666666664</v>
      </c>
      <c r="L30" s="285">
        <v>783289</v>
      </c>
      <c r="M30" s="286">
        <v>783289</v>
      </c>
      <c r="N30" s="286">
        <v>783289</v>
      </c>
      <c r="O30" s="286">
        <v>783289</v>
      </c>
      <c r="P30" s="287">
        <v>783289</v>
      </c>
      <c r="X30" s="14"/>
      <c r="Y30" s="14"/>
      <c r="Z30" s="61"/>
      <c r="AA30" s="65">
        <v>100</v>
      </c>
      <c r="AB30" s="63">
        <f>B36*30000*B38/100</f>
        <v>8088.6115500000005</v>
      </c>
    </row>
    <row r="31" spans="1:28" ht="15.5">
      <c r="A31" s="9">
        <v>53</v>
      </c>
      <c r="B31" s="275">
        <v>836729</v>
      </c>
      <c r="C31" s="276">
        <v>836729</v>
      </c>
      <c r="D31" s="276">
        <v>836729</v>
      </c>
      <c r="E31" s="276">
        <v>836729</v>
      </c>
      <c r="F31" s="277">
        <v>836729</v>
      </c>
      <c r="G31" s="281">
        <v>69727.416666666672</v>
      </c>
      <c r="H31" s="282">
        <v>69727.416666666672</v>
      </c>
      <c r="I31" s="282">
        <v>69727.416666666672</v>
      </c>
      <c r="J31" s="282">
        <v>69727.416666666672</v>
      </c>
      <c r="K31" s="282">
        <v>69727.416666666672</v>
      </c>
      <c r="L31" s="285">
        <v>871931</v>
      </c>
      <c r="M31" s="286">
        <v>871931</v>
      </c>
      <c r="N31" s="286">
        <v>871931</v>
      </c>
      <c r="O31" s="286">
        <v>871931</v>
      </c>
      <c r="P31" s="287">
        <v>871931</v>
      </c>
      <c r="X31" s="14"/>
      <c r="Y31" s="14"/>
      <c r="Z31" s="66" t="s">
        <v>63</v>
      </c>
      <c r="AA31" s="61"/>
      <c r="AB31" s="67">
        <f>SUM(AB28:AB30)</f>
        <v>114154.27854999999</v>
      </c>
    </row>
    <row r="32" spans="1:28" ht="15.5">
      <c r="A32" s="9">
        <v>54</v>
      </c>
      <c r="B32" s="275">
        <v>936255</v>
      </c>
      <c r="C32" s="276">
        <v>936255</v>
      </c>
      <c r="D32" s="276">
        <v>936255</v>
      </c>
      <c r="E32" s="276">
        <v>936255</v>
      </c>
      <c r="F32" s="277">
        <v>936255</v>
      </c>
      <c r="G32" s="281">
        <v>78021.25</v>
      </c>
      <c r="H32" s="282">
        <v>78021.25</v>
      </c>
      <c r="I32" s="282">
        <v>78021.25</v>
      </c>
      <c r="J32" s="282">
        <v>78021.25</v>
      </c>
      <c r="K32" s="282">
        <v>78021.25</v>
      </c>
      <c r="L32" s="285">
        <v>982409</v>
      </c>
      <c r="M32" s="286">
        <v>982409</v>
      </c>
      <c r="N32" s="286">
        <v>982409</v>
      </c>
      <c r="O32" s="286">
        <v>982409</v>
      </c>
      <c r="P32" s="287">
        <v>982409</v>
      </c>
      <c r="X32" s="14"/>
      <c r="Y32" s="14"/>
      <c r="Z32" s="46" t="s">
        <v>64</v>
      </c>
      <c r="AA32" s="24"/>
      <c r="AB32" s="24">
        <f>AB31/12</f>
        <v>9512.8565458333323</v>
      </c>
    </row>
    <row r="33" spans="1:28" ht="15.5">
      <c r="A33" s="10">
        <v>55</v>
      </c>
      <c r="B33" s="278">
        <v>1055886</v>
      </c>
      <c r="C33" s="279">
        <v>1055886</v>
      </c>
      <c r="D33" s="279">
        <v>1055886</v>
      </c>
      <c r="E33" s="279">
        <v>1055886</v>
      </c>
      <c r="F33" s="280">
        <v>1055886</v>
      </c>
      <c r="G33" s="283">
        <v>87990.5</v>
      </c>
      <c r="H33" s="284">
        <v>87990.5</v>
      </c>
      <c r="I33" s="284">
        <v>87990.5</v>
      </c>
      <c r="J33" s="284">
        <v>87990.5</v>
      </c>
      <c r="K33" s="284">
        <v>87990.5</v>
      </c>
      <c r="L33" s="288">
        <v>1102041</v>
      </c>
      <c r="M33" s="289">
        <v>1102041</v>
      </c>
      <c r="N33" s="289">
        <v>1102041</v>
      </c>
      <c r="O33" s="289">
        <v>1102041</v>
      </c>
      <c r="P33" s="290">
        <v>1102041</v>
      </c>
      <c r="Z33" s="14"/>
      <c r="AA33" s="14"/>
      <c r="AB33" s="14"/>
    </row>
    <row r="34" spans="1:28" ht="15.5">
      <c r="A34" s="8" t="s">
        <v>13</v>
      </c>
      <c r="B34" s="278">
        <v>1190036</v>
      </c>
      <c r="C34" s="279">
        <v>1190036</v>
      </c>
      <c r="D34" s="279">
        <v>1190036</v>
      </c>
      <c r="E34" s="279">
        <v>1190036</v>
      </c>
      <c r="F34" s="280">
        <v>1190036</v>
      </c>
      <c r="G34" s="283">
        <v>99169.666666666672</v>
      </c>
      <c r="H34" s="284">
        <v>99169.666666666672</v>
      </c>
      <c r="I34" s="284">
        <v>99169.666666666672</v>
      </c>
      <c r="J34" s="284">
        <v>99169.666666666672</v>
      </c>
      <c r="K34" s="284">
        <v>99169.666666666672</v>
      </c>
      <c r="L34" s="288">
        <v>1236193</v>
      </c>
      <c r="M34" s="289">
        <v>1236193</v>
      </c>
      <c r="N34" s="289">
        <v>1236193</v>
      </c>
      <c r="O34" s="289">
        <v>1236193</v>
      </c>
      <c r="P34" s="290">
        <v>1236193</v>
      </c>
      <c r="Z34" s="14"/>
      <c r="AA34" s="68"/>
      <c r="AB34" s="14"/>
    </row>
    <row r="35" spans="1:28">
      <c r="Z35" s="46" t="s">
        <v>65</v>
      </c>
      <c r="AA35" s="24">
        <f>54*B36</f>
        <v>85.193100000000001</v>
      </c>
      <c r="AB35" s="69"/>
    </row>
    <row r="36" spans="1:28">
      <c r="A36" s="3" t="s">
        <v>14</v>
      </c>
      <c r="B36" s="274">
        <v>1.57765</v>
      </c>
      <c r="Z36" s="46" t="s">
        <v>66</v>
      </c>
      <c r="AA36" s="24">
        <f>5.82*B36</f>
        <v>9.1819230000000012</v>
      </c>
      <c r="AB36" s="69"/>
    </row>
    <row r="37" spans="1:28">
      <c r="A37" s="3" t="s">
        <v>15</v>
      </c>
      <c r="B37" s="70">
        <v>16.61</v>
      </c>
      <c r="Z37" s="46" t="s">
        <v>67</v>
      </c>
      <c r="AA37" s="24">
        <f>127.33*B36</f>
        <v>200.88217449999999</v>
      </c>
      <c r="AB37" s="69"/>
    </row>
    <row r="38" spans="1:28">
      <c r="A38" s="3" t="s">
        <v>16</v>
      </c>
      <c r="B38" s="70">
        <v>17.09</v>
      </c>
      <c r="Z38" s="46" t="s">
        <v>68</v>
      </c>
      <c r="AA38" s="24">
        <f>289.62*B36</f>
        <v>456.918993</v>
      </c>
      <c r="AB38" s="69"/>
    </row>
    <row r="39" spans="1:28">
      <c r="A39" s="3" t="s">
        <v>320</v>
      </c>
      <c r="B39" s="70">
        <v>3.73</v>
      </c>
    </row>
    <row r="40" spans="1:28">
      <c r="A40" s="3" t="s">
        <v>319</v>
      </c>
      <c r="B40" s="70">
        <v>2.19</v>
      </c>
    </row>
    <row r="43" spans="1:28" ht="29">
      <c r="A43" s="71" t="s">
        <v>69</v>
      </c>
    </row>
    <row r="44" spans="1:28">
      <c r="A44" s="11" t="s">
        <v>70</v>
      </c>
    </row>
  </sheetData>
  <mergeCells count="8">
    <mergeCell ref="B4:F4"/>
    <mergeCell ref="G4:K4"/>
    <mergeCell ref="L4:P4"/>
    <mergeCell ref="AD1:AH1"/>
    <mergeCell ref="R2:W2"/>
    <mergeCell ref="B3:F3"/>
    <mergeCell ref="G3:K3"/>
    <mergeCell ref="L3:P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C58BAB964FCA49A87D1B661F0F8F7D" ma:contentTypeVersion="18" ma:contentTypeDescription="Opret et nyt dokument." ma:contentTypeScope="" ma:versionID="328f6dabd155a2bb79082321fb3fd75e">
  <xsd:schema xmlns:xsd="http://www.w3.org/2001/XMLSchema" xmlns:xs="http://www.w3.org/2001/XMLSchema" xmlns:p="http://schemas.microsoft.com/office/2006/metadata/properties" xmlns:ns2="da72d4aa-6fd0-49f9-8d11-e7cf49187c63" xmlns:ns3="13112136-79a4-480d-9155-a523fbefdc3e" targetNamespace="http://schemas.microsoft.com/office/2006/metadata/properties" ma:root="true" ma:fieldsID="b6940d42c707ff9448c7ac8826c98873" ns2:_="" ns3:_="">
    <xsd:import namespace="da72d4aa-6fd0-49f9-8d11-e7cf49187c63"/>
    <xsd:import namespace="13112136-79a4-480d-9155-a523fbefdc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2d4aa-6fd0-49f9-8d11-e7cf49187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12136-79a4-480d-9155-a523fbefdc3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cb474e13-02fe-4570-bab3-68f6006dd5a0}" ma:internalName="TaxCatchAll" ma:showField="CatchAllData" ma:web="13112136-79a4-480d-9155-a523fbefdc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3112136-79a4-480d-9155-a523fbefdc3e" xsi:nil="true"/>
    <lcf76f155ced4ddcb4097134ff3c332f xmlns="da72d4aa-6fd0-49f9-8d11-e7cf49187c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8BD045-02F9-4DFE-A797-938C80813801}"/>
</file>

<file path=customXml/itemProps2.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3.xml><?xml version="1.0" encoding="utf-8"?>
<ds:datastoreItem xmlns:ds="http://schemas.openxmlformats.org/officeDocument/2006/customXml" ds:itemID="{9F59CEF2-72C5-42A8-A102-91549755E3DF}">
  <ds:schemaRefs>
    <ds:schemaRef ds:uri="757a9596-9e5e-45d3-ae4c-05baa65b7273"/>
    <ds:schemaRef ds:uri="http://purl.org/dc/elements/1.1/"/>
    <ds:schemaRef ds:uri="http://www.w3.org/XML/1998/namespace"/>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3413c4e7-c6fe-47f6-b16c-704119fa4fe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Musikskoleledere_mellemledere</vt:lpstr>
      <vt:lpstr>Aktuel løntabel</vt:lpstr>
      <vt:lpstr>Aktuelle data</vt:lpstr>
      <vt:lpstr>Skoler, stedtillæg</vt:lpstr>
      <vt:lpstr>KOMMUNALE LØNNINGER PR. 1. okto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cp:lastPrinted>2023-07-05T13:12:36Z</cp:lastPrinted>
  <dcterms:created xsi:type="dcterms:W3CDTF">2019-12-10T13:23:03Z</dcterms:created>
  <dcterms:modified xsi:type="dcterms:W3CDTF">2024-08-23T13:45:35Z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0x010100B871825BBB10184D8E40C2AFC972F65D</vt:lpwstr>
  </property>
  <property fmtid="{D5CDD505-2E9C-101B-9397-08002B2CF9AE}" pid="3" name="MediaServiceImageTags">
    <vt:lpwstr/>
  </property>
</Properties>
</file>